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g+MrdXruEk/tBeh3uXLAq+89i5qjxGxzx72aHxZ/N0PX52Bw1mQK8Nfci4HwEr74kyZLXzhjqAkHDPvcIa0yJw==" workbookSaltValue="MxzYYG1HMaReqGAGqiWXK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BF17" i="8" l="1"/>
  <c r="BD12" i="8"/>
  <c r="AY14" i="8"/>
  <c r="V25" i="16"/>
  <c r="L9" i="2"/>
  <c r="L19" i="2"/>
  <c r="X10" i="21"/>
  <c r="L25" i="2"/>
  <c r="S17" i="17"/>
  <c r="L10" i="2"/>
  <c r="BH22" i="11"/>
  <c r="BL17" i="11"/>
  <c r="BJ17" i="11"/>
  <c r="AO25" i="17"/>
  <c r="BM21" i="11"/>
  <c r="BG17" i="11"/>
  <c r="BI29" i="11"/>
  <c r="S10" i="17"/>
  <c r="AO29" i="17"/>
  <c r="AQ10" i="21"/>
  <c r="BH10" i="11"/>
  <c r="Q18" i="17"/>
  <c r="AZ11" i="11"/>
  <c r="AZ12" i="11"/>
  <c r="AA18" i="16"/>
  <c r="S11" i="17"/>
  <c r="BV10" i="16"/>
  <c r="BW16" i="20"/>
  <c r="BW17" i="20"/>
  <c r="BU21" i="17"/>
  <c r="BU11" i="17"/>
  <c r="BJ28" i="11"/>
  <c r="AZ9" i="11"/>
  <c r="AZ14" i="11" s="1"/>
  <c r="AZ13" i="11"/>
  <c r="BI19" i="11"/>
  <c r="BI25" i="11"/>
  <c r="BG22" i="11"/>
  <c r="Z14" i="17"/>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C32" i="20"/>
  <c r="Z32" i="20"/>
  <c r="T32" i="20"/>
  <c r="AM32" i="20"/>
  <c r="Q32" i="20"/>
  <c r="W32" i="21"/>
  <c r="E32" i="20"/>
  <c r="AV32" i="20"/>
  <c r="O32" i="20"/>
  <c r="AQ32" i="21"/>
  <c r="Y32" i="20"/>
  <c r="L32" i="20"/>
  <c r="AJ32" i="20"/>
  <c r="AH32" i="20"/>
  <c r="I32" i="20"/>
  <c r="O18" i="11"/>
  <c r="AB32" i="20"/>
  <c r="AI32" i="20"/>
  <c r="S32" i="20"/>
  <c r="R32" i="20"/>
  <c r="N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<sst xmlns="http://schemas.openxmlformats.org/spreadsheetml/2006/main" count="2682" uniqueCount="1193">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</sst>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ceYboJVkPMAJ9yOVo6CGsIptpsFO2R3f4nb5Y2CHqcJxAJAlk8fFsjQq6FIMh/77QB1lQPdldNRQNkq5XkctA==" saltValue="4nwDVV9QhR1P1LWalrM8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28</v>
      </c>
      <c r="F10" s="240">
        <f>IF(ISNUMBER(Datos!K10),Datos!K10," - ")</f>
        <v>17</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1.5714285714285714</v>
      </c>
      <c r="L10" s="1402">
        <f>IF(ISNUMBER(NºAsuntos!I10/NºAsuntos!G10),(NºAsuntos!I10/NºAsuntos!G10)*11," - ")</f>
        <v>11.647058823529411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6.2020671834625318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28</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1392</v>
      </c>
      <c r="D17" s="239">
        <f>IF(ISNUMBER(IF(D_I="SI",Datos!I17,Datos!I17+Datos!AC17)),IF(D_I="SI",Datos!I17,Datos!I17+Datos!AC17)," - ")</f>
        <v>1288</v>
      </c>
      <c r="E17" s="240">
        <f>IF(ISNUMBER(IF(D_I="SI",Datos!J17,Datos!J17+Datos!AD17)),IF(D_I="SI",Datos!J17,Datos!J17+Datos!AD17)," - ")</f>
        <v>3740</v>
      </c>
      <c r="F17" s="240">
        <f>IF(ISNUMBER(IF(D_I="SI",Datos!K17,Datos!K17+Datos!AE17)),IF(D_I="SI",Datos!K17,Datos!K17+Datos!AE17)," - ")</f>
        <v>3698</v>
      </c>
      <c r="G17" s="1390" t="str">
        <f>IF(Datos!E17&lt;&gt;"",Datos!E17,Datos!D17)</f>
        <v>04</v>
      </c>
      <c r="H17" s="241">
        <f>IF(ISNUMBER(IF(D_I="SI",Datos!L17,Datos!L17+Datos!AF17)),IF(D_I="SI",Datos!L17,Datos!L17+Datos!AF17)," - ")</f>
        <v>1434</v>
      </c>
      <c r="I17" s="1400" t="str">
        <f>IF(ISNUMBER(Datos!AS17/Datos!BM17),Datos!AS17/Datos!BM17," - ")</f>
        <v xml:space="preserve"> - </v>
      </c>
      <c r="J17" s="1401">
        <f>IF(ISNUMBER(Datos!BY17/Datos!CN17),Datos!BY17/Datos!CN17," - ")</f>
        <v>0</v>
      </c>
      <c r="K17" s="244">
        <f t="shared" si="3"/>
        <v>3.017241379310345E-2</v>
      </c>
      <c r="L17" s="1402">
        <f>IF(ISNUMBER(NºAsuntos!I17/NºAsuntos!G17),(NºAsuntos!I17/NºAsuntos!G17)*11," - ")</f>
        <v>4.2655489453758788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122</v>
      </c>
      <c r="E18" s="240">
        <f>IF(ISNUMBER(IF(D_I="SI",Datos!J18,Datos!J18+Datos!AD18)),IF(D_I="SI",Datos!J18,Datos!J18+Datos!AD18)," - ")</f>
        <v>505</v>
      </c>
      <c r="F18" s="240">
        <f>IF(ISNUMBER(IF(D_I="SI",Datos!K18,Datos!K18+Datos!AE18)),IF(D_I="SI",Datos!K18,Datos!K18+Datos!AE18)," - ")</f>
        <v>478</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0.22131147540983606</v>
      </c>
      <c r="L18" s="1402">
        <f>IF(ISNUMBER(NºAsuntos!I18/NºAsuntos!G18),(NºAsuntos!I18/NºAsuntos!G18)*11," - ")</f>
        <v>3.4288702928870292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1514</v>
      </c>
      <c r="D23" s="1407">
        <f>SUBTOTAL(9,D16:D22)</f>
        <v>1410</v>
      </c>
      <c r="E23" s="1408">
        <f>SUBTOTAL(9,E16:E22)</f>
        <v>4245</v>
      </c>
      <c r="F23" s="1408">
        <f>SUBTOTAL(9,F16:F22)</f>
        <v>4176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1521</v>
      </c>
      <c r="D31" s="1435">
        <f>SUBTOTAL(9,D9:D30)</f>
        <v>1417</v>
      </c>
      <c r="E31" s="1436">
        <f>SUBTOTAL(9,E9:E30)</f>
        <v>4273</v>
      </c>
      <c r="F31" s="1436">
        <f>SUBTOTAL(9,F9:F30)</f>
        <v>4193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X01JRGgxVnyAB4Aqe7AKk9GifZp5A8CMEw5CAHkmYMsK7DNVa/5P6pqBu6tFrnzz5LXTX8y2RS/iWFIsnI0ZQ==" saltValue="6khM/udQbM3/uZtBXGZUg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9zrPfXrSpWOLRzehMHg6u+llzrN7FDTKzUBtc0x93Wtq2GCF5G6Ep3iqSEBsixNlpAA0nhVnzgS/yAcRAzUOg==" saltValue="mBlmIFGxzypNkByvSkzM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28</v>
      </c>
      <c r="K10" s="194">
        <v>17</v>
      </c>
      <c r="L10" s="194">
        <v>18</v>
      </c>
      <c r="M10" s="194">
        <v>12</v>
      </c>
      <c r="N10" s="194">
        <v>2</v>
      </c>
      <c r="O10" s="194">
        <v>2</v>
      </c>
      <c r="P10" s="194">
        <v>5</v>
      </c>
      <c r="Q10" s="194">
        <v>2</v>
      </c>
      <c r="R10" s="194">
        <v>6</v>
      </c>
      <c r="S10" s="194">
        <v>14</v>
      </c>
      <c r="T10" s="194">
        <v>13</v>
      </c>
      <c r="U10" s="194">
        <v>20</v>
      </c>
      <c r="V10" s="194">
        <v>7</v>
      </c>
      <c r="W10" s="194">
        <v>16</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13</v>
      </c>
      <c r="BA10" s="139">
        <f t="shared" si="0"/>
        <v>20</v>
      </c>
      <c r="BB10" s="139">
        <f t="shared" si="0"/>
        <v>7</v>
      </c>
      <c r="BC10" s="135">
        <f t="shared" si="0"/>
        <v>16</v>
      </c>
      <c r="BD10" s="136">
        <f>IF(ISNUMBER(BA10/AZ10),BA10/AZ10," - ")</f>
        <v>1.5384615384615385</v>
      </c>
      <c r="BE10" s="137">
        <f>IF(ISNUMBER(BB10/BA10),BB10/BA10, " - ")</f>
        <v>0.35</v>
      </c>
      <c r="BF10" s="137">
        <f>IF(ISNUMBER(BC10/BA10),BC10/BA10, " - ")</f>
        <v>0.8</v>
      </c>
      <c r="BG10" s="209">
        <f>IF(ISNUMBER((AY10+AZ10)/BA10),(AY10+AZ10)/BA10," - ")</f>
        <v>1.35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2035</v>
      </c>
      <c r="J12" s="196">
        <v>3415</v>
      </c>
      <c r="K12" s="196">
        <v>3366</v>
      </c>
      <c r="L12" s="196">
        <v>2064</v>
      </c>
      <c r="M12" s="196">
        <v>1040</v>
      </c>
      <c r="N12" s="196">
        <v>1467</v>
      </c>
      <c r="O12" s="194">
        <v>1116</v>
      </c>
      <c r="P12" s="196">
        <v>929</v>
      </c>
      <c r="Q12" s="196">
        <v>612</v>
      </c>
      <c r="R12" s="196">
        <v>2263</v>
      </c>
      <c r="S12" s="196">
        <v>2257</v>
      </c>
      <c r="T12" s="196">
        <v>3247</v>
      </c>
      <c r="U12" s="196">
        <v>3469</v>
      </c>
      <c r="V12" s="196">
        <v>2035</v>
      </c>
      <c r="W12" s="196">
        <v>1201</v>
      </c>
      <c r="X12" s="202">
        <v>1650</v>
      </c>
      <c r="Y12" s="204">
        <v>126</v>
      </c>
      <c r="Z12" s="194">
        <v>472</v>
      </c>
      <c r="AA12" s="194">
        <v>504</v>
      </c>
      <c r="AB12" s="194">
        <v>118</v>
      </c>
      <c r="AC12" s="196">
        <v>0</v>
      </c>
      <c r="AD12" s="196">
        <v>0</v>
      </c>
      <c r="AE12" s="196">
        <v>0</v>
      </c>
      <c r="AF12" s="202">
        <v>0</v>
      </c>
      <c r="AG12" s="215">
        <v>378</v>
      </c>
      <c r="AH12" s="196">
        <v>642</v>
      </c>
      <c r="AI12" s="196">
        <v>753</v>
      </c>
      <c r="AJ12" s="216">
        <v>126</v>
      </c>
      <c r="AK12" s="195">
        <v>0</v>
      </c>
      <c r="AL12" s="196">
        <v>0</v>
      </c>
      <c r="AM12" s="196">
        <v>0</v>
      </c>
      <c r="AN12" s="202">
        <v>0</v>
      </c>
      <c r="AO12" s="283">
        <v>6</v>
      </c>
      <c r="AP12" s="168">
        <v>6</v>
      </c>
      <c r="AQ12" s="168">
        <v>6</v>
      </c>
      <c r="AR12" s="167">
        <v>6</v>
      </c>
      <c r="AS12" s="381" t="s">
        <v>1075</v>
      </c>
      <c r="AT12" s="216"/>
      <c r="AU12" s="215"/>
      <c r="AV12" s="216"/>
      <c r="AW12" s="215"/>
      <c r="AX12" s="216"/>
      <c r="AY12" s="136">
        <f t="shared" si="1"/>
        <v>2635</v>
      </c>
      <c r="AZ12" s="137">
        <f t="shared" si="1"/>
        <v>3889</v>
      </c>
      <c r="BA12" s="137">
        <f t="shared" si="1"/>
        <v>4222</v>
      </c>
      <c r="BB12" s="137">
        <f t="shared" si="1"/>
        <v>2161</v>
      </c>
      <c r="BC12" s="135">
        <f>IF(ISNUMBER(X12),X12," - ")</f>
        <v>1650</v>
      </c>
      <c r="BD12" s="136">
        <f t="shared" si="2"/>
        <v>1.085626124967858</v>
      </c>
      <c r="BE12" s="137">
        <f t="shared" si="3"/>
        <v>0.51184272856466129</v>
      </c>
      <c r="BF12" s="137">
        <f t="shared" si="4"/>
        <v>0.39081004263382285</v>
      </c>
      <c r="BG12" s="209">
        <f t="shared" si="5"/>
        <v>1.5452392231170062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2042</v>
      </c>
      <c r="J14" s="197">
        <f t="shared" si="7"/>
        <v>3443</v>
      </c>
      <c r="K14" s="197">
        <f t="shared" si="7"/>
        <v>3383</v>
      </c>
      <c r="L14" s="197">
        <f t="shared" si="7"/>
        <v>2082</v>
      </c>
      <c r="M14" s="197">
        <f t="shared" si="7"/>
        <v>1052</v>
      </c>
      <c r="N14" s="197">
        <f t="shared" si="7"/>
        <v>1469</v>
      </c>
      <c r="O14" s="197">
        <f t="shared" si="7"/>
        <v>1118</v>
      </c>
      <c r="P14" s="197">
        <f t="shared" si="7"/>
        <v>934</v>
      </c>
      <c r="Q14" s="197">
        <f t="shared" si="7"/>
        <v>614</v>
      </c>
      <c r="R14" s="197">
        <f t="shared" si="7"/>
        <v>2269</v>
      </c>
      <c r="S14" s="197">
        <f t="shared" si="7"/>
        <v>2271</v>
      </c>
      <c r="T14" s="197">
        <f t="shared" si="7"/>
        <v>3260</v>
      </c>
      <c r="U14" s="197">
        <f t="shared" si="7"/>
        <v>3489</v>
      </c>
      <c r="V14" s="197">
        <f t="shared" si="7"/>
        <v>2042</v>
      </c>
      <c r="W14" s="197">
        <f t="shared" si="7"/>
        <v>1217</v>
      </c>
      <c r="X14" s="197">
        <f t="shared" si="7"/>
        <v>1654</v>
      </c>
      <c r="Y14" s="197">
        <f t="shared" si="7"/>
        <v>126</v>
      </c>
      <c r="Z14" s="197">
        <f t="shared" si="7"/>
        <v>472</v>
      </c>
      <c r="AA14" s="197">
        <f t="shared" si="7"/>
        <v>504</v>
      </c>
      <c r="AB14" s="197">
        <f t="shared" si="7"/>
        <v>118</v>
      </c>
      <c r="AC14" s="197">
        <f t="shared" si="7"/>
        <v>0</v>
      </c>
      <c r="AD14" s="197">
        <f t="shared" si="7"/>
        <v>0</v>
      </c>
      <c r="AE14" s="197">
        <f t="shared" si="7"/>
        <v>0</v>
      </c>
      <c r="AF14" s="197">
        <f>SUBTOTAL(9,AF9:AF13)</f>
        <v>0</v>
      </c>
      <c r="AG14" s="197">
        <f t="shared" ref="AG14:AT14" si="8">SUBTOTAL(9,AG8:AG13)</f>
        <v>378</v>
      </c>
      <c r="AH14" s="197">
        <f t="shared" si="8"/>
        <v>642</v>
      </c>
      <c r="AI14" s="197">
        <f t="shared" si="8"/>
        <v>753</v>
      </c>
      <c r="AJ14" s="197">
        <f t="shared" si="8"/>
        <v>126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2649</v>
      </c>
      <c r="AZ14" s="197">
        <f>SUBTOTAL(9,AZ8:AZ13)</f>
        <v>3902</v>
      </c>
      <c r="BA14" s="197">
        <f>SUBTOTAL(9,BA8:BA13)</f>
        <v>4242</v>
      </c>
      <c r="BB14" s="197">
        <f>SUBTOTAL(9,BB8:BB13)</f>
        <v>2168</v>
      </c>
      <c r="BC14" s="197">
        <f>SUBTOTAL(9,BC8:BC13)</f>
        <v>1666</v>
      </c>
      <c r="BD14" s="219">
        <f>IF(ISNUMBER(BA14/AZ14),BA14/AZ14," - ")</f>
        <v>1.0871348026652998</v>
      </c>
      <c r="BE14" s="220">
        <f>IF(ISNUMBER(BB14/BA14),BB14/BA14, " - ")</f>
        <v>0.51107967939651111</v>
      </c>
      <c r="BF14" s="220">
        <f>IF(ISNUMBER(BC14/BA14),BC14/BA14, " - ")</f>
        <v>0.39273927392739272</v>
      </c>
      <c r="BG14" s="221">
        <f>IF(ISNUMBER((AY14+AZ14)/BA14),(AY14+AZ14)/BA14," - ")</f>
        <v>1.5443187175860442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1288</v>
      </c>
      <c r="J17" s="196">
        <v>3740</v>
      </c>
      <c r="K17" s="196">
        <v>3698</v>
      </c>
      <c r="L17" s="196">
        <v>1434</v>
      </c>
      <c r="M17" s="196">
        <v>956</v>
      </c>
      <c r="N17" s="196">
        <v>1755</v>
      </c>
      <c r="O17" s="194">
        <v>14</v>
      </c>
      <c r="P17" s="196">
        <v>244</v>
      </c>
      <c r="Q17" s="196">
        <v>268</v>
      </c>
      <c r="R17" s="196">
        <v>173</v>
      </c>
      <c r="S17" s="196">
        <v>1235</v>
      </c>
      <c r="T17" s="196">
        <v>3171</v>
      </c>
      <c r="U17" s="196">
        <v>3073</v>
      </c>
      <c r="V17" s="196">
        <v>1288</v>
      </c>
      <c r="W17" s="196">
        <v>840</v>
      </c>
      <c r="X17" s="202">
        <v>1397</v>
      </c>
      <c r="Y17" s="215">
        <v>0</v>
      </c>
      <c r="Z17" s="196">
        <v>0</v>
      </c>
      <c r="AA17" s="196">
        <v>0</v>
      </c>
      <c r="AB17" s="196">
        <v>0</v>
      </c>
      <c r="AC17" s="196">
        <v>0</v>
      </c>
      <c r="AD17" s="196">
        <v>27</v>
      </c>
      <c r="AE17" s="196">
        <v>27</v>
      </c>
      <c r="AF17" s="202">
        <v>0</v>
      </c>
      <c r="AG17" s="215">
        <v>0</v>
      </c>
      <c r="AH17" s="196">
        <v>0</v>
      </c>
      <c r="AI17" s="196">
        <v>0</v>
      </c>
      <c r="AJ17" s="216">
        <v>0</v>
      </c>
      <c r="AK17" s="195">
        <v>0</v>
      </c>
      <c r="AL17" s="196">
        <v>29</v>
      </c>
      <c r="AM17" s="196">
        <v>29</v>
      </c>
      <c r="AN17" s="202">
        <v>0</v>
      </c>
      <c r="AO17" s="283">
        <v>6</v>
      </c>
      <c r="AP17" s="168">
        <v>6</v>
      </c>
      <c r="AQ17" s="168">
        <v>6</v>
      </c>
      <c r="AR17" s="168">
        <v>6</v>
      </c>
      <c r="AS17" s="381" t="s">
        <v>650</v>
      </c>
      <c r="AT17" s="216"/>
      <c r="AU17" s="215"/>
      <c r="AV17" s="216"/>
      <c r="AW17" s="215"/>
      <c r="AX17" s="216"/>
      <c r="AY17" s="136">
        <f t="shared" si="10"/>
        <v>1235</v>
      </c>
      <c r="AZ17" s="137">
        <f t="shared" si="10"/>
        <v>3171</v>
      </c>
      <c r="BA17" s="137">
        <f t="shared" si="10"/>
        <v>3073</v>
      </c>
      <c r="BB17" s="137">
        <f t="shared" si="10"/>
        <v>1288</v>
      </c>
      <c r="BC17" s="135">
        <f>IF(ISNUMBER(W17),W17," - ")</f>
        <v>840</v>
      </c>
      <c r="BD17" s="136">
        <f t="shared" ref="BD17:BD22" si="12">IF(ISNUMBER(BA17/AZ17),BA17/AZ17," - ")</f>
        <v>0.9690949227373068</v>
      </c>
      <c r="BE17" s="137">
        <f t="shared" ref="BE17:BE22" si="13">IF(ISNUMBER(BB17/BA17),BB17/BA17, " - ")</f>
        <v>0.4191343963553531</v>
      </c>
      <c r="BF17" s="137">
        <f t="shared" ref="BF17:BF22" si="14">IF(ISNUMBER(BC17/BA17),BC17/BA17, " - ")</f>
        <v>0.27334851936218679</v>
      </c>
      <c r="BG17" s="209">
        <f t="shared" si="11"/>
        <v>1.4337780670354703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505</v>
      </c>
      <c r="K18" s="196">
        <v>478</v>
      </c>
      <c r="L18" s="196">
        <v>149</v>
      </c>
      <c r="M18" s="196">
        <v>76</v>
      </c>
      <c r="N18" s="196">
        <v>252</v>
      </c>
      <c r="O18" s="196">
        <v>2</v>
      </c>
      <c r="P18" s="196">
        <v>8</v>
      </c>
      <c r="Q18" s="196">
        <v>6</v>
      </c>
      <c r="R18" s="196">
        <v>6</v>
      </c>
      <c r="S18" s="196">
        <v>154</v>
      </c>
      <c r="T18" s="196">
        <v>383</v>
      </c>
      <c r="U18" s="196">
        <v>415</v>
      </c>
      <c r="V18" s="196">
        <v>122</v>
      </c>
      <c r="W18" s="196">
        <v>61</v>
      </c>
      <c r="X18" s="202">
        <v>209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154</v>
      </c>
      <c r="AZ18" s="139">
        <f t="shared" si="15"/>
        <v>383</v>
      </c>
      <c r="BA18" s="139">
        <f t="shared" si="15"/>
        <v>415</v>
      </c>
      <c r="BB18" s="139">
        <f t="shared" si="15"/>
        <v>122</v>
      </c>
      <c r="BC18" s="135">
        <f>IF(ISNUMBER(W18),W18," - ")</f>
        <v>61</v>
      </c>
      <c r="BD18" s="136">
        <f>IF(ISNUMBER(BA18/AZ18),BA18/AZ18," - ")</f>
        <v>1.0835509138381201</v>
      </c>
      <c r="BE18" s="137">
        <f>IF(ISNUMBER(BB18/BA18),BB18/BA18, " - ")</f>
        <v>0.29397590361445786</v>
      </c>
      <c r="BF18" s="137">
        <f>IF(ISNUMBER(BC18/BA18),BC18/BA18, " - ")</f>
        <v>0.14698795180722893</v>
      </c>
      <c r="BG18" s="209">
        <f>IF(ISNUMBER((AY18+AZ18)/BA18),(AY18+AZ18)/BA18," - ")</f>
        <v>1.2939759036144578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1410</v>
      </c>
      <c r="J23" s="197">
        <f t="shared" si="21"/>
        <v>4245</v>
      </c>
      <c r="K23" s="197">
        <f t="shared" si="21"/>
        <v>4176</v>
      </c>
      <c r="L23" s="197">
        <f t="shared" si="21"/>
        <v>1583</v>
      </c>
      <c r="M23" s="197">
        <f t="shared" si="21"/>
        <v>1032</v>
      </c>
      <c r="N23" s="197">
        <f t="shared" si="21"/>
        <v>2007</v>
      </c>
      <c r="O23" s="197">
        <f t="shared" si="21"/>
        <v>16</v>
      </c>
      <c r="P23" s="197">
        <f t="shared" si="21"/>
        <v>252</v>
      </c>
      <c r="Q23" s="197">
        <f t="shared" si="21"/>
        <v>274</v>
      </c>
      <c r="R23" s="197">
        <f t="shared" si="21"/>
        <v>179</v>
      </c>
      <c r="S23" s="197">
        <f t="shared" si="21"/>
        <v>1389</v>
      </c>
      <c r="T23" s="197">
        <f t="shared" si="21"/>
        <v>3554</v>
      </c>
      <c r="U23" s="197">
        <f t="shared" si="21"/>
        <v>3488</v>
      </c>
      <c r="V23" s="197">
        <f t="shared" si="21"/>
        <v>1410</v>
      </c>
      <c r="W23" s="197">
        <f t="shared" si="21"/>
        <v>901</v>
      </c>
      <c r="X23" s="197">
        <f t="shared" si="21"/>
        <v>1606</v>
      </c>
      <c r="Y23" s="197">
        <f t="shared" si="21"/>
        <v>0</v>
      </c>
      <c r="Z23" s="197">
        <f t="shared" si="21"/>
        <v>0</v>
      </c>
      <c r="AA23" s="197">
        <f t="shared" si="21"/>
        <v>0</v>
      </c>
      <c r="AB23" s="197">
        <f t="shared" si="21"/>
        <v>0</v>
      </c>
      <c r="AC23" s="197">
        <f t="shared" si="21"/>
        <v>0</v>
      </c>
      <c r="AD23" s="197">
        <f t="shared" si="21"/>
        <v>27</v>
      </c>
      <c r="AE23" s="197">
        <f t="shared" si="21"/>
        <v>27</v>
      </c>
      <c r="AF23" s="197">
        <f t="shared" si="21"/>
        <v>0</v>
      </c>
      <c r="AG23" s="197">
        <f t="shared" si="21"/>
        <v>0</v>
      </c>
      <c r="AH23" s="197">
        <f t="shared" si="21"/>
        <v>0</v>
      </c>
      <c r="AI23" s="197">
        <f t="shared" si="21"/>
        <v>0</v>
      </c>
      <c r="AJ23" s="197">
        <f t="shared" si="21"/>
        <v>0</v>
      </c>
      <c r="AK23" s="197">
        <f t="shared" si="21"/>
        <v>0</v>
      </c>
      <c r="AL23" s="197">
        <f t="shared" si="21"/>
        <v>29</v>
      </c>
      <c r="AM23" s="197">
        <f t="shared" si="21"/>
        <v>29</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1389</v>
      </c>
      <c r="AZ23" s="197">
        <f>SUBTOTAL(9,AZ15:AZ22)</f>
        <v>3554</v>
      </c>
      <c r="BA23" s="197">
        <f>SUBTOTAL(9,BA15:BA22)</f>
        <v>3488</v>
      </c>
      <c r="BB23" s="197">
        <f>SUBTOTAL(9,BB15:BB22)</f>
        <v>1410</v>
      </c>
      <c r="BC23" s="197">
        <f>SUBTOTAL(9,BC15:BC22)</f>
        <v>901</v>
      </c>
      <c r="BD23" s="219">
        <f>IF(ISNUMBER(BA23/AZ23),BA23/AZ23," - ")</f>
        <v>0.98142937535171637</v>
      </c>
      <c r="BE23" s="220">
        <f>IF(ISNUMBER(BB23/BA23),BB23/BA23, " - ")</f>
        <v>0.40424311926605505</v>
      </c>
      <c r="BF23" s="220">
        <f>IF(ISNUMBER(BC23/BA23),BC23/BA23, " - ")</f>
        <v>0.25831422018348627</v>
      </c>
      <c r="BG23" s="221">
        <f>IF(ISNUMBER((AY23+AZ23)/BA23),(AY23+AZ23)/BA23," - ")</f>
        <v>1.417144495412844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3452</v>
      </c>
      <c r="J31" s="144">
        <f t="shared" si="36"/>
        <v>7688</v>
      </c>
      <c r="K31" s="144">
        <f t="shared" si="36"/>
        <v>7559</v>
      </c>
      <c r="L31" s="144">
        <f t="shared" si="36"/>
        <v>3665</v>
      </c>
      <c r="M31" s="144">
        <f t="shared" si="36"/>
        <v>2084</v>
      </c>
      <c r="N31" s="144">
        <f t="shared" si="36"/>
        <v>3476</v>
      </c>
      <c r="O31" s="144">
        <f t="shared" si="36"/>
        <v>1134</v>
      </c>
      <c r="P31" s="144">
        <f t="shared" si="36"/>
        <v>1186</v>
      </c>
      <c r="Q31" s="144">
        <f t="shared" si="36"/>
        <v>888</v>
      </c>
      <c r="R31" s="144">
        <f t="shared" si="36"/>
        <v>2448</v>
      </c>
      <c r="S31" s="144">
        <f t="shared" si="36"/>
        <v>3660</v>
      </c>
      <c r="T31" s="144">
        <f t="shared" si="36"/>
        <v>6814</v>
      </c>
      <c r="U31" s="144">
        <f t="shared" si="36"/>
        <v>6977</v>
      </c>
      <c r="V31" s="144">
        <f t="shared" si="36"/>
        <v>3452</v>
      </c>
      <c r="W31" s="144">
        <f t="shared" si="36"/>
        <v>2118</v>
      </c>
      <c r="X31" s="144">
        <f t="shared" si="36"/>
        <v>3260</v>
      </c>
      <c r="Y31" s="144">
        <f t="shared" si="36"/>
        <v>126</v>
      </c>
      <c r="Z31" s="144">
        <f t="shared" si="36"/>
        <v>472</v>
      </c>
      <c r="AA31" s="144">
        <f t="shared" si="36"/>
        <v>504</v>
      </c>
      <c r="AB31" s="144">
        <f t="shared" si="36"/>
        <v>118</v>
      </c>
      <c r="AC31" s="144">
        <f t="shared" si="36"/>
        <v>0</v>
      </c>
      <c r="AD31" s="144">
        <f t="shared" si="36"/>
        <v>27</v>
      </c>
      <c r="AE31" s="144">
        <f t="shared" si="36"/>
        <v>27</v>
      </c>
      <c r="AF31" s="144">
        <f t="shared" si="36"/>
        <v>0</v>
      </c>
      <c r="AG31" s="144">
        <f t="shared" si="36"/>
        <v>378</v>
      </c>
      <c r="AH31" s="144">
        <f t="shared" si="36"/>
        <v>642</v>
      </c>
      <c r="AI31" s="144">
        <f t="shared" si="36"/>
        <v>753</v>
      </c>
      <c r="AJ31" s="144">
        <f t="shared" si="36"/>
        <v>126</v>
      </c>
      <c r="AK31" s="144">
        <f t="shared" si="36"/>
        <v>0</v>
      </c>
      <c r="AL31" s="144">
        <f t="shared" si="36"/>
        <v>29</v>
      </c>
      <c r="AM31" s="144">
        <f t="shared" si="36"/>
        <v>29</v>
      </c>
      <c r="AN31" s="224">
        <f t="shared" si="36"/>
        <v>0</v>
      </c>
      <c r="AO31" s="225">
        <v>7</v>
      </c>
      <c r="AP31" s="225">
        <v>6</v>
      </c>
      <c r="AQ31" s="225">
        <v>6</v>
      </c>
      <c r="AR31" s="225">
        <v>6</v>
      </c>
      <c r="AS31" s="166">
        <f t="shared" si="36"/>
        <v>0</v>
      </c>
      <c r="AT31" s="166">
        <f t="shared" si="36"/>
        <v>0</v>
      </c>
      <c r="AU31" s="225"/>
      <c r="AV31" s="226"/>
      <c r="AW31" s="225"/>
      <c r="AX31" s="226"/>
      <c r="AY31" s="143">
        <f>SUBTOTAL(9,AY9:AY30)</f>
        <v>4038</v>
      </c>
      <c r="AZ31" s="144">
        <f>SUBTOTAL(9,AZ9:AZ30)</f>
        <v>7456</v>
      </c>
      <c r="BA31" s="144">
        <f>SUBTOTAL(9,BA9:BA30)</f>
        <v>7730</v>
      </c>
      <c r="BB31" s="144">
        <f>SUBTOTAL(9,BB9:BB30)</f>
        <v>3578</v>
      </c>
      <c r="BC31" s="145">
        <f>SUBTOTAL(9,BC9:BC30)</f>
        <v>2567</v>
      </c>
      <c r="BD31" s="227">
        <f>IF(ISNUMBER(BA31/AZ31),BA31/AZ31," - ")</f>
        <v>1.0367489270386265</v>
      </c>
      <c r="BE31" s="224">
        <f>IF(ISNUMBER(BB31/BA31),BB31/BA31, " - ")</f>
        <v>0.46287192755498058</v>
      </c>
      <c r="BF31" s="224">
        <f>IF(ISNUMBER(BC31/BA31),BC31/BA31, " - ")</f>
        <v>0.33208279430789134</v>
      </c>
      <c r="BG31" s="145">
        <f>IF(ISNUMBER((AY31+AZ31)/BA31),(AY31+AZ31)/BA31," - ")</f>
        <v>1.4869340232858992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cSli582RnxBe632Z6JbZbD76x5yUDKb51n2GYLc/lOqG0OkRyOsT4SZAPrd0AObC45Phhv2ZaodkmvprYhQ==" saltValue="LBL9fepDnvO9g3xS+nFe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7qaAfP1fbTvW5ZL+K4DMNiq7lilRgu3G4/f2p/IGNRtVm8ZrGNW+bfUMPg5oGfhoeu86vnbTc2QCMVstN3mQ==" saltValue="weRxRnIVftb/c0z0Az1C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GETXO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18</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v>
      </c>
      <c r="BE10" s="693" t="str">
        <f>IF(ISNUMBER(Datos!BW10),Datos!BW10," - ")</f>
        <v xml:space="preserve"> - </v>
      </c>
      <c r="BF10" s="762" t="str">
        <f>IF(ISNUMBER(Datos!BX10),Datos!BX10," - ")</f>
        <v xml:space="preserve"> - </v>
      </c>
      <c r="BG10" s="763">
        <f>IF(ISNUMBER(Datos!K10/Datos!J10),Datos!K10/Datos!J10," - ")</f>
        <v>0.6071428571428571</v>
      </c>
      <c r="BH10" s="764">
        <f>IF(ISNUMBER(((Datos!L10/Datos!K10)*11)/factor_trimestre),((Datos!L10/Datos!K10)*11)/factor_trimestre," - ")</f>
        <v>11.647058823529411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472</v>
      </c>
      <c r="O12" s="549"/>
      <c r="P12" s="549"/>
      <c r="Q12" s="547">
        <f>IF(ISNUMBER(Datos!P12),Datos!P12,0)</f>
        <v>929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118</v>
      </c>
      <c r="AI12" s="549" t="str">
        <f>IF(ISNUMBER(Datos!CD12),Datos!CD12,"-")</f>
        <v>-</v>
      </c>
      <c r="AJ12" s="549" t="str">
        <f>IF(ISNUMBER(Datos!EN12),Datos!EN12," - ")</f>
        <v xml:space="preserve"> - </v>
      </c>
      <c r="AK12" s="549"/>
      <c r="AL12" s="550"/>
      <c r="AM12" s="766">
        <f>IF(ISNUMBER(Datos!R12),Datos!R12," - ")</f>
        <v>2263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1040</v>
      </c>
      <c r="BD12" s="693">
        <f>IF(ISNUMBER(Datos!N12),Datos!N12," - ")</f>
        <v>1467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0.99562644713146387</v>
      </c>
      <c r="BH12" s="764">
        <f>IF(ISNUMBER(((IF(J_V="SI",Datos!L12/Datos!K12,(Datos!L12+Datos!AB12)/(Datos!K12+Datos!AA12)))*11)/factor_trimestre),((IF(J_V="SI",Datos!L12/Datos!K12,(Datos!L12+Datos!AB12)/(Datos!K12+Datos!AA12)))*11)/factor_trimestre," - ")</f>
        <v>6.2020671834625318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0.16289825282631037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472</v>
      </c>
      <c r="O14" s="1199">
        <f t="shared" si="1"/>
        <v>0</v>
      </c>
      <c r="P14" s="1199">
        <f t="shared" si="1"/>
        <v>0</v>
      </c>
      <c r="Q14" s="1198">
        <f t="shared" si="1"/>
        <v>934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614</v>
      </c>
      <c r="AD14" s="1198">
        <f t="shared" si="2"/>
        <v>0</v>
      </c>
      <c r="AE14" s="1198">
        <f t="shared" si="2"/>
        <v>0</v>
      </c>
      <c r="AF14" s="1198">
        <f t="shared" si="2"/>
        <v>18</v>
      </c>
      <c r="AG14" s="1198">
        <f t="shared" si="2"/>
        <v>0</v>
      </c>
      <c r="AH14" s="1198">
        <f t="shared" si="2"/>
        <v>118</v>
      </c>
      <c r="AI14" s="1198">
        <f t="shared" si="2"/>
        <v>0</v>
      </c>
      <c r="AJ14" s="1198">
        <f t="shared" si="2"/>
        <v>0</v>
      </c>
      <c r="AK14" s="1198">
        <f t="shared" si="2"/>
        <v>0</v>
      </c>
      <c r="AL14" s="1198">
        <f t="shared" si="2"/>
        <v>0</v>
      </c>
      <c r="AM14" s="1198">
        <f t="shared" si="2"/>
        <v>2269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1052</v>
      </c>
      <c r="BD14" s="1198">
        <f t="shared" si="2"/>
        <v>1469</v>
      </c>
      <c r="BE14" s="1198">
        <f t="shared" si="2"/>
        <v>0</v>
      </c>
      <c r="BF14" s="1198">
        <f t="shared" si="2"/>
        <v>0</v>
      </c>
      <c r="BG14" s="1198">
        <f>IF(ISNUMBER(Datos!K14/Datos!J14),Datos!K14/Datos!J14," - ")</f>
        <v>0.9825733372059251</v>
      </c>
      <c r="BH14" s="1202">
        <f>IF(ISNUMBER(((Datos!L14/Datos!K14)*11)/factor_trimestre),((Datos!L14/Datos!K14)*11)/factor_trimestre," - ")</f>
        <v>6.7697310079810817</v>
      </c>
      <c r="BI14" s="1198">
        <f>IF(ISNUMBER('Resol  Asuntos'!D14/NºAsuntos!G14),'Resol  Asuntos'!D14/NºAsuntos!G14," - ")</f>
        <v>0.27064574221764859</v>
      </c>
      <c r="BJ14" s="1198" t="str">
        <f>IF(ISNUMBER(Datos!CI14/Datos!CJ14),Datos!CI14/Datos!CJ14," - ")</f>
        <v xml:space="preserve"> - </v>
      </c>
      <c r="BK14" s="1198">
        <f>SUBTOTAL(9,BK8:BK13)</f>
        <v>0</v>
      </c>
      <c r="BL14" s="1198">
        <f>IF(ISNUMBER((I14-AB14+L14)/(F14)),(I14-AB14+L14)/(F14)," - ")</f>
        <v>-2.4285714285714284</v>
      </c>
      <c r="BM14" s="1203">
        <f>SUBTOTAL(9,BM9:BM13)</f>
        <v>1.1628982528263103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1392</v>
      </c>
      <c r="G17" s="743">
        <f>IF(ISNUMBER(IF(D_I="SI",Datos!I17,Datos!I17+Datos!AC17)),IF(D_I="SI",Datos!I17,Datos!I17+Datos!AC17)," - ")</f>
        <v>1288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3698</v>
      </c>
      <c r="AC17" s="240">
        <f>IF(ISNUMBER(Datos!Q17),Datos!Q17," - ")</f>
        <v>268</v>
      </c>
      <c r="AD17" s="374"/>
      <c r="AE17" s="562"/>
      <c r="AF17" s="741">
        <f>IF(ISNUMBER(IF(D_I="SI",Datos!L17,Datos!L17+Datos!AF17)),IF(D_I="SI",Datos!L17,Datos!L17+Datos!AF17)," - ")</f>
        <v>1434</v>
      </c>
      <c r="AG17" s="374"/>
      <c r="AH17" s="374"/>
      <c r="AI17" s="374"/>
      <c r="AJ17" s="549"/>
      <c r="AK17" s="374"/>
      <c r="AL17" s="545"/>
      <c r="AM17" s="375">
        <f>IF(ISNUMBER(Datos!R17),Datos!R17," - ")</f>
        <v>173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956</v>
      </c>
      <c r="BD17" s="243">
        <f>IF(ISNUMBER(Datos!N17),Datos!N17," - ")</f>
        <v>1755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0.98877005347593583</v>
      </c>
      <c r="BH17" s="764">
        <f>IF(ISNUMBER(((IF(D_I="SI",Datos!L17/Datos!K17,(Datos!L17+Datos!AF17)/(Datos!K17+Datos!AE17)))*11)/factor_trimestre),((IF(D_I="SI",Datos!L17/Datos!K17,(Datos!L17+Datos!AF17)/(Datos!K17+Datos!AE17)))*11)/factor_trimestre," - ")</f>
        <v>4.2655489453758788</v>
      </c>
      <c r="BI17" s="266">
        <f>IF(ISNUMBER('Resol  Asuntos'!D17/NºAsuntos!G17),'Resol  Asuntos'!D17/NºAsuntos!G17," - ")</f>
        <v>0.25851811790156842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478</v>
      </c>
      <c r="AC18" s="547">
        <f>IF(ISNUMBER(Datos!Q18),Datos!Q18," - ")</f>
        <v>6</v>
      </c>
      <c r="AD18" s="549"/>
      <c r="AE18" s="562"/>
      <c r="AF18" s="551">
        <f>IF(ISNUMBER(Datos!L18),Datos!L18,"-")</f>
        <v>149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76</v>
      </c>
      <c r="BD18" s="693">
        <f>IF(ISNUMBER(Datos!N18),Datos!N18," - ")</f>
        <v>252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0.94653465346534649</v>
      </c>
      <c r="BH18" s="764">
        <f>IF(ISNUMBER(((IF(D_I="SI",Datos!L18/Datos!K18,(Datos!L18+Datos!AF18)/(Datos!K18+Datos!AE18)))*11)/factor_trimestre),((IF(D_I="SI",Datos!L18/Datos!K18,(Datos!L18+Datos!AF18)/(Datos!K18+Datos!AE18)))*11)/factor_trimestre," - ")</f>
        <v>3.4288702928870292</v>
      </c>
      <c r="BI18" s="763">
        <f>IF(ISNUMBER('Resol  Asuntos'!D18/NºAsuntos!G18),'Resol  Asuntos'!D18/NºAsuntos!G18," - ")</f>
        <v>0.15899581589958159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1392</v>
      </c>
      <c r="G23" s="1197">
        <f>SUBTOTAL(9,G16:G22)</f>
        <v>1410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4176</v>
      </c>
      <c r="AC23" s="1198">
        <f t="shared" si="5"/>
        <v>274</v>
      </c>
      <c r="AD23" s="1198">
        <f t="shared" si="5"/>
        <v>0</v>
      </c>
      <c r="AE23" s="1198">
        <f t="shared" si="5"/>
        <v>0</v>
      </c>
      <c r="AF23" s="1198">
        <f t="shared" si="5"/>
        <v>1583</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1032</v>
      </c>
      <c r="BD23" s="1198">
        <f t="shared" si="5"/>
        <v>2007</v>
      </c>
      <c r="BE23" s="1198">
        <f t="shared" si="5"/>
        <v>0</v>
      </c>
      <c r="BF23" s="1198">
        <f t="shared" si="5"/>
        <v>0</v>
      </c>
      <c r="BG23" s="1198">
        <f>IF(ISNUMBER(Datos!K23/Datos!J23),Datos!K23/Datos!J23," - ")</f>
        <v>0.98374558303886928</v>
      </c>
      <c r="BH23" s="1202">
        <f>IF(ISNUMBER(((Datos!L23/Datos!K23)*11)/factor_trimestre),((Datos!L23/Datos!K23)*11)/factor_trimestre," - ")</f>
        <v>4.1697796934865901</v>
      </c>
      <c r="BI23" s="1198">
        <f>SUBTOTAL(9,BI16:BI22)</f>
        <v>0.41751393380114998</v>
      </c>
      <c r="BJ23" s="1198">
        <f>SUBTOTAL(9,BJ16:BJ22)</f>
        <v>0</v>
      </c>
      <c r="BK23" s="1198">
        <f>SUBTOTAL(9,BK16:BK22)</f>
        <v>0</v>
      </c>
      <c r="BL23" s="1198">
        <f>IF(ISNUMBER((I23-AB23+L23)/(F23)),(I23-AB23+L23)/(F23)," - ")</f>
        <v>-3</v>
      </c>
      <c r="BM23" s="1205">
        <f>IF(ISNUMBER((Datos!P23-Datos!Q23)/(Datos!R23-Datos!P23+Datos!Q23)),(Datos!P23-Datos!Q23)/(Datos!R23-Datos!P23+Datos!Q23)," - ")</f>
        <v>-0.10945273631840796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1399</v>
      </c>
      <c r="G31" s="1117">
        <f t="shared" si="18"/>
        <v>1417</v>
      </c>
      <c r="H31" s="1119">
        <f t="shared" si="18"/>
        <v>0</v>
      </c>
      <c r="I31" s="1117">
        <f t="shared" si="18"/>
        <v>0</v>
      </c>
      <c r="J31" s="1119">
        <f t="shared" si="18"/>
        <v>0</v>
      </c>
      <c r="K31" s="1119">
        <f t="shared" si="18"/>
        <v>0</v>
      </c>
      <c r="L31" s="1180">
        <f t="shared" si="18"/>
        <v>0</v>
      </c>
      <c r="M31" s="1180">
        <f t="shared" si="18"/>
        <v>0</v>
      </c>
      <c r="N31" s="1180">
        <f t="shared" si="18"/>
        <v>472</v>
      </c>
      <c r="O31" s="1180">
        <f t="shared" si="18"/>
        <v>0</v>
      </c>
      <c r="P31" s="1180">
        <f t="shared" si="18"/>
        <v>0</v>
      </c>
      <c r="Q31" s="1119">
        <f t="shared" si="18"/>
        <v>1186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4193</v>
      </c>
      <c r="AC31" s="1118">
        <f t="shared" si="19"/>
        <v>888</v>
      </c>
      <c r="AD31" s="1118">
        <f t="shared" si="19"/>
        <v>0</v>
      </c>
      <c r="AE31" s="1118">
        <f t="shared" si="19"/>
        <v>0</v>
      </c>
      <c r="AF31" s="1125">
        <f t="shared" si="19"/>
        <v>1601</v>
      </c>
      <c r="AG31" s="1125">
        <f t="shared" si="19"/>
        <v>0</v>
      </c>
      <c r="AH31" s="1125">
        <f t="shared" si="19"/>
        <v>118</v>
      </c>
      <c r="AI31" s="1125">
        <f t="shared" si="19"/>
        <v>0</v>
      </c>
      <c r="AJ31" s="1118">
        <f t="shared" si="19"/>
        <v>0</v>
      </c>
      <c r="AK31" s="1125">
        <f t="shared" si="19"/>
        <v>0</v>
      </c>
      <c r="AL31" s="1125">
        <f t="shared" si="19"/>
        <v>0</v>
      </c>
      <c r="AM31" s="1125">
        <f t="shared" si="19"/>
        <v>2448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2084</v>
      </c>
      <c r="BD31" s="1117">
        <f t="shared" si="19"/>
        <v>3476</v>
      </c>
      <c r="BE31" s="1117">
        <f t="shared" si="19"/>
        <v>0</v>
      </c>
      <c r="BF31" s="1127">
        <f t="shared" si="19"/>
        <v>0</v>
      </c>
      <c r="BG31" s="1223">
        <f>IF(ISNUMBER(Datos!K31/Datos!J31),Datos!K31/Datos!J31," - ")</f>
        <v>0.98322060353798124</v>
      </c>
      <c r="BH31" s="1223">
        <f>IF(ISNUMBER(((Datos!L31/Datos!K31)*11)/factor_trimestre),((Datos!L31/Datos!K31)*11)/factor_trimestre," - ")</f>
        <v>5.3333774308770998</v>
      </c>
      <c r="BI31" s="1103">
        <f>IF(ISNUMBER(Datos!J31/Datos!I31),Datos!J31/Datos!I31," - ")</f>
        <v>2.2271147161066049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-2.9971408148677625</v>
      </c>
      <c r="BM31" s="1188">
        <f>IF(ISNUMBER((Datos!P31-Datos!Q31+R31)/(Datos!R31-Datos!P31+Datos!Q31-R31)),(Datos!P31-Datos!Q31+R31)/(Datos!R31-Datos!P31+Datos!Q31-R31)," - ")</f>
        <v>0.13860465116279069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717.02515065140256</v>
      </c>
      <c r="G33" s="674">
        <f>IF(ISNUMBER(STDEV(G8:G30)),STDEV(G8:G30),"-")</f>
        <v>647.38716612019959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1884.0034501029982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534.74373034459893</v>
      </c>
      <c r="BD33" s="673"/>
      <c r="BE33" s="673">
        <f>IF(ISNUMBER(STDEV(BE8:BE30)),STDEV(BE8:BE30),"-")</f>
        <v>0</v>
      </c>
      <c r="BF33" s="678">
        <f>IF(ISNUMBER(STDEV(BF8:BF30)),STDEV(BF8:BF30),"-")</f>
        <v>0</v>
      </c>
      <c r="BG33" s="1052">
        <f>IF(ISNUMBER(STDEV(BG8:BG30)),STDEV(BG8:BG30),"-")</f>
        <v>0.15295142010023327</v>
      </c>
      <c r="BH33" s="1058">
        <f>IF(ISNUMBER(STDEV(BH8:BH30)),STDEV(BH8:BH30),"-")</f>
        <v>3.0150434365626335</v>
      </c>
      <c r="BI33" s="273">
        <f>IF(ISNUMBER(STDEV(BI8:BI30)),STDEV(BI8:BI30),"-")</f>
        <v>0.10653599797334035</v>
      </c>
      <c r="BJ33" s="244" t="str">
        <f>IF(ISNUMBER(BL33/BM33),BL33/BM33," - ")</f>
        <v xml:space="preserve"> - </v>
      </c>
      <c r="BK33" s="709"/>
      <c r="BL33" s="681">
        <f>IF(ISNUMBER(STDEV(BL8:BL30)),STDEV(BL8:BL30),"-")</f>
        <v>0.40406101782088011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3+IA4wQgnUwNav+XnB/cYvd3S5v1lo2acZtSLTmG6mBJWIqNfpZ7j0nTEVrkDXpO/+oYbVL86DKYKcNnr1+ckg==" saltValue="iSLEdxeIG/UVhFHq1+k2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GETXO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18</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11.647058823529411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612</v>
      </c>
      <c r="AA12" s="551" t="str">
        <f>IF(ISNUMBER(IF(J_V="SI",Datos!L12,Datos!L12+Datos!AB12)-IF(Monitorios="SI",Datos!CD12,0)),
                          IF(J_V="SI",Datos!L12,Datos!L12+Datos!AB12)-IF(Monitorios="SI",Datos!CD12,0),
                          " - ")</f>
        <v xml:space="preserve"> - </v>
      </c>
      <c r="AB12" s="549"/>
      <c r="AC12" s="549"/>
      <c r="AD12" s="563"/>
      <c r="AE12" s="563">
        <f>IF(ISNUMBER(Datos!R12),Datos!R12," - ")</f>
        <v>2263</v>
      </c>
      <c r="AF12" s="693" t="str">
        <f>IF(ISNUMBER(Datos!BV12),Datos!BV12," - ")</f>
        <v xml:space="preserve"> - </v>
      </c>
      <c r="AG12" s="552" t="str">
        <f>IF(ISNUMBER(Datos!DV12),Datos!DV12," - ")</f>
        <v xml:space="preserve"> - </v>
      </c>
      <c r="AH12" s="553"/>
      <c r="AI12" s="554"/>
      <c r="AJ12" s="552">
        <f>IF(ISNUMBER(Datos!M12),Datos!M12," - ")</f>
        <v>1040</v>
      </c>
      <c r="AK12" s="693">
        <f>IF(ISNUMBER(Datos!N12),Datos!N12," - ")</f>
        <v>1467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6.2020671834625318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0.16289825282631037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934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614</v>
      </c>
      <c r="AA14" s="1199">
        <f t="shared" si="3"/>
        <v>18</v>
      </c>
      <c r="AB14" s="1199">
        <f t="shared" si="3"/>
        <v>0</v>
      </c>
      <c r="AC14" s="1199">
        <f t="shared" si="3"/>
        <v>0</v>
      </c>
      <c r="AD14" s="1199">
        <f t="shared" si="3"/>
        <v>0</v>
      </c>
      <c r="AE14" s="1199">
        <f t="shared" si="3"/>
        <v>2269</v>
      </c>
      <c r="AF14" s="1211">
        <f t="shared" si="3"/>
        <v>0</v>
      </c>
      <c r="AG14" s="1211">
        <f t="shared" si="3"/>
        <v>0</v>
      </c>
      <c r="AH14" s="1211">
        <f t="shared" si="3"/>
        <v>0</v>
      </c>
      <c r="AI14" s="1211">
        <f t="shared" si="3"/>
        <v>0</v>
      </c>
      <c r="AJ14" s="1211">
        <f t="shared" si="3"/>
        <v>1052</v>
      </c>
      <c r="AK14" s="1211">
        <f t="shared" si="3"/>
        <v>1469</v>
      </c>
      <c r="AL14" s="1211">
        <f t="shared" si="3"/>
        <v>0</v>
      </c>
      <c r="AM14" s="1211">
        <f t="shared" si="3"/>
        <v>0</v>
      </c>
      <c r="AN14" s="1211">
        <f t="shared" si="3"/>
        <v>0</v>
      </c>
      <c r="AO14" s="1203">
        <f>IF(ISNUMBER(((NºAsuntos!I14/NºAsuntos!G14)*11)/factor_trimestre),((NºAsuntos!I14/NºAsuntos!G14)*11)/factor_trimestre," - ")</f>
        <v>6.2258811422691025</v>
      </c>
      <c r="AP14" s="1213" t="str">
        <f>IF(ISNUMBER(Datos!CI14/Datos!CJ14),Datos!CI14/Datos!CJ14," - ")</f>
        <v xml:space="preserve"> - </v>
      </c>
      <c r="AQ14" s="1236">
        <f t="shared" ref="AQ14:AV14" si="4">SUBTOTAL(9,AQ9:AQ13)</f>
        <v>0</v>
      </c>
      <c r="AR14" s="1236">
        <f t="shared" si="4"/>
        <v>1.1628982528263103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1392</v>
      </c>
      <c r="G17" s="552">
        <f>IF(ISNUMBER(IF(D_I="SI",Datos!I17,Datos!I17+Datos!AC17)),IF(D_I="SI",Datos!I17,Datos!I17+Datos!AC17)," - ")</f>
        <v>1288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3698</v>
      </c>
      <c r="Z17" s="805">
        <f>IF(ISNUMBER(Datos!Q17),Datos!Q17," - ")</f>
        <v>268</v>
      </c>
      <c r="AA17" s="551">
        <f>IF(ISNUMBER(IF(D_I="SI",Datos!L17,Datos!L17+Datos!AF17)),IF(D_I="SI",Datos!L17,Datos!L17+Datos!AF17)," - ")</f>
        <v>1434</v>
      </c>
      <c r="AB17" s="549"/>
      <c r="AC17" s="549"/>
      <c r="AD17" s="563"/>
      <c r="AE17" s="563">
        <f>IF(ISNUMBER(Datos!R17),Datos!R17," - ")</f>
        <v>173</v>
      </c>
      <c r="AF17" s="693" t="str">
        <f>IF(ISNUMBER(Datos!BV17),Datos!BV17," - ")</f>
        <v xml:space="preserve"> - </v>
      </c>
      <c r="AG17" s="552"/>
      <c r="AH17" s="553"/>
      <c r="AI17" s="554"/>
      <c r="AJ17" s="552">
        <f>IF(ISNUMBER(Datos!M17),Datos!M17," - ")</f>
        <v>956</v>
      </c>
      <c r="AK17" s="693">
        <f>IF(ISNUMBER(Datos!N17),Datos!N17," - ")</f>
        <v>1755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4.2655489453758788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478</v>
      </c>
      <c r="Z18" s="805">
        <f>IF(ISNUMBER(Datos!Q18),Datos!Q18," - ")</f>
        <v>6</v>
      </c>
      <c r="AA18" s="551">
        <f>IF(ISNUMBER(Datos!L18),Datos!L18,"-")</f>
        <v>149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76</v>
      </c>
      <c r="AK18" s="693">
        <f>IF(ISNUMBER(Datos!N18),Datos!N18," - ")</f>
        <v>252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3.4288702928870292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1392</v>
      </c>
      <c r="G23" s="1197">
        <f>SUBTOTAL(9,G16:G22)</f>
        <v>1410</v>
      </c>
      <c r="H23" s="1240">
        <f>SUBTOTAL(9,H16:H22)</f>
        <v>0</v>
      </c>
      <c r="I23" s="1217">
        <f>SUBTOTAL(9,I16:I22)</f>
        <v>0</v>
      </c>
      <c r="J23" s="1164">
        <f>SUBTOTAL(9,J15:J22)</f>
        <v>0</v>
      </c>
      <c r="K23" s="1240">
        <f t="shared" ref="K23:S23" si="5">SUBTOTAL(9,K16:K22)</f>
        <v>0</v>
      </c>
      <c r="L23" s="1240">
        <f t="shared" si="5"/>
        <v>0</v>
      </c>
      <c r="M23" s="1240">
        <f t="shared" si="5"/>
        <v>0</v>
      </c>
      <c r="N23" s="1240">
        <f t="shared" si="5"/>
        <v>252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4176</v>
      </c>
      <c r="Z23" s="1240">
        <f t="shared" si="6"/>
        <v>274</v>
      </c>
      <c r="AA23" s="1240">
        <f t="shared" si="6"/>
        <v>1583</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1032</v>
      </c>
      <c r="AK23" s="1240">
        <f t="shared" si="6"/>
        <v>2007</v>
      </c>
      <c r="AL23" s="1240">
        <f t="shared" si="6"/>
        <v>0</v>
      </c>
      <c r="AM23" s="1240">
        <f t="shared" si="6"/>
        <v>0</v>
      </c>
      <c r="AN23" s="1240">
        <f t="shared" si="6"/>
        <v>0</v>
      </c>
      <c r="AO23" s="1242">
        <f>IF(ISNUMBER(((NºAsuntos!I23/NºAsuntos!G23)*11)/factor_trimestre),((NºAsuntos!I23/NºAsuntos!G23)*11)/factor_trimestre," - ")</f>
        <v>4.1697796934865901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1399</v>
      </c>
      <c r="G31" s="1117">
        <f t="shared" si="12"/>
        <v>1417</v>
      </c>
      <c r="H31" s="1118">
        <f t="shared" si="12"/>
        <v>0</v>
      </c>
      <c r="I31" s="1117">
        <f t="shared" si="12"/>
        <v>0</v>
      </c>
      <c r="J31" s="1119">
        <f t="shared" si="12"/>
        <v>0</v>
      </c>
      <c r="K31" s="1117">
        <f t="shared" si="12"/>
        <v>0</v>
      </c>
      <c r="L31" s="1120">
        <f t="shared" si="12"/>
        <v>0</v>
      </c>
      <c r="M31" s="1117">
        <f t="shared" si="12"/>
        <v>0</v>
      </c>
      <c r="N31" s="1118">
        <f t="shared" si="12"/>
        <v>1186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4193</v>
      </c>
      <c r="Z31" s="1124">
        <f t="shared" si="13"/>
        <v>888</v>
      </c>
      <c r="AA31" s="1125">
        <f t="shared" si="13"/>
        <v>1601</v>
      </c>
      <c r="AB31" s="1125">
        <f t="shared" si="13"/>
        <v>0</v>
      </c>
      <c r="AC31" s="1125">
        <f t="shared" si="13"/>
        <v>0</v>
      </c>
      <c r="AD31" s="1126">
        <f t="shared" si="13"/>
        <v>0</v>
      </c>
      <c r="AE31" s="1126">
        <f t="shared" si="13"/>
        <v>2448</v>
      </c>
      <c r="AF31" s="1127">
        <f t="shared" si="13"/>
        <v>0</v>
      </c>
      <c r="AG31" s="1128">
        <f t="shared" si="13"/>
        <v>0</v>
      </c>
      <c r="AH31" s="1129">
        <f t="shared" si="13"/>
        <v>0</v>
      </c>
      <c r="AI31" s="1127">
        <f t="shared" si="13"/>
        <v>0</v>
      </c>
      <c r="AJ31" s="1117">
        <f t="shared" si="13"/>
        <v>2084</v>
      </c>
      <c r="AK31" s="1117">
        <f t="shared" si="13"/>
        <v>3476</v>
      </c>
      <c r="AL31" s="1117">
        <f t="shared" si="13"/>
        <v>0</v>
      </c>
      <c r="AM31" s="1130">
        <f t="shared" si="13"/>
        <v>0</v>
      </c>
      <c r="AN31" s="1120">
        <f>IF(ISNUMBER(Datos!K31/Datos!J31),Datos!K31/Datos!J31," - ")</f>
        <v>0.98322060353798124</v>
      </c>
      <c r="AO31" s="1120">
        <f>IF(ISNUMBER(FIND("06",Criterios!A8,1)),(IF(ISNUMBER(((Datos!R31/Datos!Q31)*11)/factor_trimestre),((Datos!R31/Datos!Q31)*11)/factor_trimestre," - ")),(IF(ISNUMBER(((Datos!L31/Datos!K31)*11)/factor_trimestre),((Datos!L31/Datos!K31)*11)/factor_trimestre," - ")))</f>
        <v>5.3333774308770998</v>
      </c>
      <c r="AP31" s="1131" t="str">
        <f>IF(ISNUMBER(Datos!CI31/Datos!CJ31),Datos!CI31/Datos!CJ31," - ")</f>
        <v xml:space="preserve"> - </v>
      </c>
      <c r="AQ31" s="1131">
        <f>IF(OR(ISNUMBER(FIND("01",Criterios!A8,1)),ISNUMBER(FIND("02",Criterios!A8,1)),ISNUMBER(FIND("03",Criterios!A8,1)),ISNUMBER(FIND("04",Criterios!A8,1))),(J31-Y31+K31)/(F31-K31),(I31-Y31+K31)/(F31-K31))</f>
        <v>-2.9971408148677625</v>
      </c>
      <c r="AR31" s="1131">
        <f>IF(ISNUMBER((Datos!P31-Datos!Q31+O31)/(Datos!R31-Datos!P31+Datos!Q31-O31)),(Datos!P31-Datos!Q31+O31)/(Datos!R31-Datos!P31+Datos!Q31-O31)," - ")</f>
        <v>0.13860465116279069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717.02515065140256</v>
      </c>
      <c r="G33" s="674">
        <f>IF(ISNUMBER(STDEV(G8:G30)),STDEV(G8:G30),"-")</f>
        <v>647.38716612019959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534.74373034459893</v>
      </c>
      <c r="AK33" s="276"/>
      <c r="AL33" s="276">
        <f>IF(ISNUMBER(STDEV(AL8:AL30)),STDEV(AL8:AL30),"-")</f>
        <v>0</v>
      </c>
      <c r="AM33" s="278">
        <f>IF(ISNUMBER(STDEV(AM8:AM30)),STDEV(AM8:AM30),"-")</f>
        <v>0</v>
      </c>
      <c r="AN33" s="660">
        <f>IF(ISNUMBER(STDEV(AN8:AN30)),STDEV(AN8:AN30),"-")</f>
        <v>0</v>
      </c>
      <c r="AO33" s="661">
        <f>IF(ISNUMBER(STDEV(AO8:AO30)),STDEV(AO8:AO30),"-")</f>
        <v>2.9983077097621322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y5zwjbltv4DFxPLdnZPpcjA/AiiX3ya8Fh1O0PBR8A6c1nphBqsYhTnqSLvRjvcOk0FNVtqMGecG+23edGbj3A==" saltValue="HmKVcU95qoG8/AoNOajF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jFDBXcWT9I5ufjkGlZePykRiyd6C0SeYGXU8Hf94e0DKNA8X1I/jBYZZndrY5QrVwyz7z+hKOCxWD4d7FW/RQ==" saltValue="FAJsG+KfVrcsXro5P8e3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Pb5hIJCn49VK0y1uoTxirYVudlnizEiptWR8UaRxANoHLqMnRuKIRdc4QU9ReubOBxIMf1DY17mI+KPoGQg==" saltValue="Sg2KbxKD+LgfzV795laB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GETXO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0.27064574221764859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0.19137543962136561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4bpKRxDmTiRvvne8/hT8xusyWRaL4yGniDbp11g91i6SYG1tAeFtya9owfzZmMp3tATCTD+638z/htwnKfzOVA==" saltValue="1WNu+fik5PQSLMZLhl2w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Ae8hZXhE9nxQRKrb9/3hBGKWR6GMrI6Hn17xNG8hqc4CXUv/xvN7FOiOBOQ3Dl2WD2VIocxG+DpJYwSzVEBYQ==" saltValue="yieHEYzA5DQ67ssd1Qfd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GETXO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28</v>
      </c>
      <c r="F10" s="452">
        <f>IF(ISNUMBER(E10/B10),E10/B10," - ")</f>
        <v>28</v>
      </c>
      <c r="G10" s="451">
        <f>IF(ISNUMBER(Datos!K10),Datos!K10," - ")</f>
        <v>17</v>
      </c>
      <c r="H10" s="452">
        <f>IF(ISNUMBER(G10/B10),G10/B10," - ")</f>
        <v>17</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2161</v>
      </c>
      <c r="D12" s="452">
        <f>IF(ISNUMBER(C12/Datos!BH12),C12/Datos!BH12," - ")</f>
        <v>360.16666666666669</v>
      </c>
      <c r="E12" s="451">
        <f>IF(ISNUMBER(IF(J_V="SI",Datos!J12,Datos!J12+Datos!Z12)),IF(J_V="SI",Datos!J12,Datos!J12+Datos!Z12)," - ")</f>
        <v>3887</v>
      </c>
      <c r="F12" s="452">
        <f>IF(ISNUMBER(E12/B12),E12/B12," - ")</f>
        <v>647.83333333333337</v>
      </c>
      <c r="G12" s="451">
        <f>IF(ISNUMBER(IF(J_V="SI",Datos!K12,Datos!K12+Datos!AA12)),IF(J_V="SI",Datos!K12,Datos!K12+Datos!AA12)," - ")</f>
        <v>3870</v>
      </c>
      <c r="H12" s="452">
        <f>IF(ISNUMBER(G12/B12),G12/B12," - ")</f>
        <v>645</v>
      </c>
      <c r="I12" s="451">
        <f>IF(ISNUMBER(IF(J_V="SI",Datos!L12,Datos!L12+Datos!AB12)),IF(J_V="SI",Datos!L12,Datos!L12+Datos!AB12)," - ")</f>
        <v>2182</v>
      </c>
      <c r="J12" s="452">
        <f>IF(ISNUMBER(I12/B12),I12/B12," - ")</f>
        <v>363.66666666666669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2168</v>
      </c>
      <c r="D14" s="1147" t="str">
        <f>IF(ISNUMBER(C14/Datos!BI14),C14/Datos!BI14," - ")</f>
        <v xml:space="preserve"> - </v>
      </c>
      <c r="E14" s="1146">
        <f>SUBTOTAL(9,E8:E13)</f>
        <v>3915</v>
      </c>
      <c r="F14" s="1147">
        <f>IF(ISNUMBER(E14/B14),E14/B14," - ")</f>
        <v>652.5</v>
      </c>
      <c r="G14" s="1146">
        <f>SUBTOTAL(9,G8:G13)</f>
        <v>3887</v>
      </c>
      <c r="H14" s="1147">
        <f>IF(ISNUMBER(G14/B14),G14/B14," - ")</f>
        <v>647.83333333333337</v>
      </c>
      <c r="I14" s="1146">
        <f>SUBTOTAL(9,I8:I13)</f>
        <v>2200</v>
      </c>
      <c r="J14" s="1147">
        <f>IF(ISNUMBER(I14/B14),I14/B14," - ")</f>
        <v>366.66666666666669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1288</v>
      </c>
      <c r="D17" s="452">
        <f>IF(ISNUMBER(C17/Datos!BH17),C17/Datos!BH17," - ")</f>
        <v>214.66666666666666</v>
      </c>
      <c r="E17" s="451">
        <f>IF(ISNUMBER(IF(D_I="SI",Datos!J17,Datos!J17+Datos!AD17)),IF(D_I="SI",Datos!J17,Datos!J17+Datos!AD17)," - ")</f>
        <v>3740</v>
      </c>
      <c r="F17" s="452">
        <f>IF(ISNUMBER(E17/B17),E17/B17," - ")</f>
        <v>623.33333333333337</v>
      </c>
      <c r="G17" s="451">
        <f>IF(ISNUMBER(IF(D_I="SI",Datos!K17,Datos!K17+Datos!AE17)),IF(D_I="SI",Datos!K17,Datos!K17+Datos!AE17)," - ")</f>
        <v>3698</v>
      </c>
      <c r="H17" s="452">
        <f>IF(ISNUMBER(G17/B17),G17/B17," - ")</f>
        <v>616.33333333333337</v>
      </c>
      <c r="I17" s="451">
        <f>IF(ISNUMBER(IF(D_I="SI",Datos!L17,Datos!L17+Datos!AF17)),IF(D_I="SI",Datos!L17,Datos!L17+Datos!AF17)," - ")</f>
        <v>1434</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505</v>
      </c>
      <c r="F18" s="452">
        <f>IF(ISNUMBER(E18/B18),E18/B18," - ")</f>
        <v>505</v>
      </c>
      <c r="G18" s="451">
        <f>IF(ISNUMBER(IF(D_I="SI",Datos!K18,Datos!K18+Datos!AE18)),IF(D_I="SI",Datos!K18,Datos!K18+Datos!AE18)," - ")</f>
        <v>478</v>
      </c>
      <c r="H18" s="452">
        <f>IF(ISNUMBER(G18/B18),G18/B18," - ")</f>
        <v>478</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1410</v>
      </c>
      <c r="D23" s="1147" t="str">
        <f>IF(ISNUMBER(C23/Datos!BI23),C23/Datos!BI23," - ")</f>
        <v xml:space="preserve"> - </v>
      </c>
      <c r="E23" s="1146">
        <f>SUBTOTAL(9,E15:E22)</f>
        <v>4245</v>
      </c>
      <c r="F23" s="1147">
        <f>IF(ISNUMBER(E23/B23),E23/B23," - ")</f>
        <v>707.5</v>
      </c>
      <c r="G23" s="1146">
        <f>SUBTOTAL(9,G15:G22)</f>
        <v>4176</v>
      </c>
      <c r="H23" s="1147">
        <f>IF(ISNUMBER(G23/B23),G23/B23," - ")</f>
        <v>696</v>
      </c>
      <c r="I23" s="1146">
        <f>SUBTOTAL(9,I15:I22)</f>
        <v>1583</v>
      </c>
      <c r="J23" s="1147">
        <f>IF(ISNUMBER(I23/B23),I23/B23," - ")</f>
        <v>263.83333333333331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3578</v>
      </c>
      <c r="D31" s="1085" t="str">
        <f>IF(ISNUMBER(C31/Datos!BI31),C31/Datos!BI31," - ")</f>
        <v xml:space="preserve"> - </v>
      </c>
      <c r="E31" s="1084">
        <f>SUBTOTAL(9,E9:E30)</f>
        <v>8160</v>
      </c>
      <c r="F31" s="1085">
        <f>IF(ISNUMBER(E31/B31),E31/B31," - ")</f>
        <v>1360</v>
      </c>
      <c r="G31" s="1084">
        <f>SUBTOTAL(9,G9:G30)</f>
        <v>8063</v>
      </c>
      <c r="H31" s="1085">
        <f>IF(ISNUMBER(G31/B31),G31/B31," - ")</f>
        <v>1343.8333333333333</v>
      </c>
      <c r="I31" s="1084">
        <f>SUBTOTAL(9,I9:I30)</f>
        <v>3783</v>
      </c>
      <c r="J31" s="1085">
        <f>IF(ISNUMBER(I31/B31),I31/B31," - ")</f>
        <v>630.5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5xNzDYIXmEAneA5tXoEwxO56ZTXDcMOyKL/F70tAPv7r1wXsAL8p7eTSlBXGU/VhBmV0kKAAZ1A7favFQIXNsQ==" saltValue="HOX1yPy5jk1IY1CLIE4C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GETXO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11.647058823529411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1040</v>
      </c>
      <c r="AM12" s="914">
        <f>IF(ISNUMBER(Datos!N12+DatosP!N17),Datos!N12+DatosP!N17," - ")</f>
        <v>1467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6.2020671834625318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0.16289825282631037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934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612</v>
      </c>
      <c r="AE14" s="1257">
        <f t="shared" si="1"/>
        <v>0</v>
      </c>
      <c r="AF14" s="1257">
        <f t="shared" si="1"/>
        <v>18</v>
      </c>
      <c r="AG14" s="1257">
        <f t="shared" si="1"/>
        <v>0</v>
      </c>
      <c r="AH14" s="1257">
        <f t="shared" si="1"/>
        <v>2263</v>
      </c>
      <c r="AI14" s="1257">
        <f t="shared" si="1"/>
        <v>0</v>
      </c>
      <c r="AJ14" s="1257">
        <f t="shared" si="1"/>
        <v>0</v>
      </c>
      <c r="AK14" s="1257">
        <f t="shared" si="1"/>
        <v>0</v>
      </c>
      <c r="AL14" s="1257">
        <f t="shared" si="1"/>
        <v>1052</v>
      </c>
      <c r="AM14" s="1257">
        <f t="shared" si="1"/>
        <v>1469</v>
      </c>
      <c r="AN14" s="1257">
        <f t="shared" si="1"/>
        <v>0</v>
      </c>
      <c r="AO14" s="1257">
        <f t="shared" si="1"/>
        <v>0</v>
      </c>
      <c r="AP14" s="1262">
        <f>IF(ISNUMBER(((Datos!L14/Datos!K14)*11)/factor_trimestre),((Datos!L14/Datos!K14)*11)/factor_trimestre," - ")</f>
        <v>6.7697310079810817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-2.4285714285714284</v>
      </c>
      <c r="AU14" s="1257" t="str">
        <f>IF(ISNUMBER((DatosP!#REF!-DatosP!#REF!+DatosP!#REF!)/(DatosP!#REF!+DatosP!#REF!-DatosP!#REF!-DatosP!#REF!)),(DatosP!#REF!-DatosP!#REF!+DatosP!#REF!)/(DatosP!#REF!+DatosP!#REF!-DatosP!#REF!-DatosP!#REF!)," - ")</f>
        <v xml:space="preserve"> - </v>
      </c>
      <c r="AV14" s="1263">
        <f>SUBTOTAL(9,AV9:AV13)</f>
        <v>0.16289825282631037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4.1697796934865901</v>
      </c>
      <c r="AQ23" s="1262">
        <f>IF(ISNUMBER(((Datos!M23/Datos!L23)*11)/factor_trimestre),((Datos!M23/Datos!L23)*11)/factor_trimestre," - ")</f>
        <v>7.1711939355653822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-0.10945273631840796</v>
      </c>
      <c r="AW23" s="1265">
        <f>IF(ISNUMBER((Datos!Q23-Datos!R23)/(Datos!S23-Datos!Q23+Datos!R23)),(Datos!Q23-Datos!R23)/(Datos!S23-Datos!Q23+Datos!R23)," - ")</f>
        <v>7.3415765069551775E-2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934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612</v>
      </c>
      <c r="AE31" s="1284">
        <f t="shared" si="9"/>
        <v>0</v>
      </c>
      <c r="AF31" s="1285">
        <f t="shared" si="9"/>
        <v>18</v>
      </c>
      <c r="AG31" s="1285">
        <f t="shared" si="9"/>
        <v>0</v>
      </c>
      <c r="AH31" s="1285">
        <f t="shared" si="9"/>
        <v>2263</v>
      </c>
      <c r="AI31" s="1285">
        <f t="shared" si="9"/>
        <v>0</v>
      </c>
      <c r="AJ31" s="1286">
        <f t="shared" si="9"/>
        <v>0</v>
      </c>
      <c r="AK31" s="1286">
        <f t="shared" si="9"/>
        <v>0</v>
      </c>
      <c r="AL31" s="1278">
        <f t="shared" si="9"/>
        <v>1052</v>
      </c>
      <c r="AM31" s="1278">
        <f t="shared" si="9"/>
        <v>1469</v>
      </c>
      <c r="AN31" s="1278">
        <f t="shared" si="9"/>
        <v>0</v>
      </c>
      <c r="AO31" s="1278">
        <f t="shared" si="9"/>
        <v>0</v>
      </c>
      <c r="AP31" s="1278">
        <f>IF(ISNUMBER(((Datos!L31/Datos!K31)*11)/factor_trimestre),((Datos!L31/Datos!K31)*11)/factor_trimestre," - ")</f>
        <v>5.3333774308770998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-2.4285714285714284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0.13860465116279069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538.63630277457787</v>
      </c>
      <c r="AM33" s="1006"/>
      <c r="AN33" s="1006">
        <f>IF(ISNUMBER(STDEV(AN8:AN30)),STDEV(AN8:AN30),"-")</f>
        <v>0</v>
      </c>
      <c r="AO33" s="1012">
        <f>IF(ISNUMBER(STDEV(AO8:AO30)),STDEV(AO8:AO30),"-")</f>
        <v>0</v>
      </c>
      <c r="AP33" s="1065">
        <f>IF(ISNUMBER(STDEV(AP8:AP30)),STDEV(AP8:AP30),"-")</f>
        <v>3.1696233381194121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n7aELnkWrzBErTRsaAIK4feeGeG1/OmByUOJ55AyU1BAmqQGflmvnyQEtCCuEQcrz/fZIkvO1NwnbGZp4yJK3w==" saltValue="He5ij27B+YLXp22cZMbB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GETXO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aK2zoazGnJ2Y/KAjkVt3OTBCxDe3kX4gTv7cg5d+8ZWcyZlS52cd/sxyhvthhx+mW8hAwpvqAvL/MRAPGgYNKg==" saltValue="JNOOG+ENuyf2S0T+ZX2P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GETXO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1040</v>
      </c>
      <c r="E12" s="452">
        <f t="shared" si="0"/>
        <v>173.33333333333334</v>
      </c>
      <c r="F12" s="451">
        <f>IF(ISNUMBER(Datos!N12),Datos!N12," - ")</f>
        <v>1467</v>
      </c>
      <c r="G12" s="452">
        <f t="shared" si="1"/>
        <v>244.5</v>
      </c>
      <c r="H12" s="451">
        <f>IF(ISNUMBER(Datos!O12),Datos!O12," - ")</f>
        <v>1116</v>
      </c>
      <c r="I12" s="452">
        <f t="shared" si="2"/>
        <v>186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1052</v>
      </c>
      <c r="E14" s="1147">
        <f t="shared" si="0"/>
        <v>150.28571428571428</v>
      </c>
      <c r="F14" s="1146">
        <f>SUBTOTAL(9,F9:F13)</f>
        <v>1469</v>
      </c>
      <c r="G14" s="1147">
        <f t="shared" si="1"/>
        <v>209.85714285714286</v>
      </c>
      <c r="H14" s="1146">
        <f>SUBTOTAL(9,H9:H13)</f>
        <v>1118</v>
      </c>
      <c r="I14" s="1147">
        <f>IF(ISNUMBER(H14/B14),H14/B14," - ")</f>
        <v>159.71428571428572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956</v>
      </c>
      <c r="E17" s="452">
        <f t="shared" si="3"/>
        <v>159.33333333333334</v>
      </c>
      <c r="F17" s="451">
        <f>IF(ISNUMBER(Datos!N17),Datos!N17," - ")</f>
        <v>1755</v>
      </c>
      <c r="G17" s="452">
        <f t="shared" si="4"/>
        <v>292.5</v>
      </c>
      <c r="H17" s="451">
        <f>IF(ISNUMBER(Datos!O17),Datos!O17," - ")</f>
        <v>14</v>
      </c>
      <c r="I17" s="452">
        <f t="shared" si="5"/>
        <v>2.3333333333333335</v>
      </c>
    </row>
    <row r="18" spans="1:9">
      <c r="A18" s="450" t="str">
        <f>Datos!A18</f>
        <v>Jdos. Violencia contra la mujer</v>
      </c>
      <c r="B18" s="480">
        <f>Datos!AO18</f>
        <v>1</v>
      </c>
      <c r="C18" s="481">
        <f>Datos!AQ18</f>
        <v>0</v>
      </c>
      <c r="D18" s="451">
        <f>IF(ISNUMBER(Datos!M18),Datos!M18," - ")</f>
        <v>76</v>
      </c>
      <c r="E18" s="452">
        <f>IF(ISNUMBER(D18/B18),D18/B18," - ")</f>
        <v>76</v>
      </c>
      <c r="F18" s="451">
        <f>IF(ISNUMBER(Datos!N18),Datos!N18," - ")</f>
        <v>252</v>
      </c>
      <c r="G18" s="452">
        <f>IF(ISNUMBER(F18/B18),F18/B18," - ")</f>
        <v>252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1032</v>
      </c>
      <c r="E23" s="1147">
        <f t="shared" si="3"/>
        <v>147.42857142857142</v>
      </c>
      <c r="F23" s="1146">
        <f>SUBTOTAL(9,F16:F22)</f>
        <v>2007</v>
      </c>
      <c r="G23" s="1147">
        <f t="shared" si="4"/>
        <v>286.71428571428572</v>
      </c>
      <c r="H23" s="1146">
        <f>SUBTOTAL(9,H16:H22)</f>
        <v>16</v>
      </c>
      <c r="I23" s="1147">
        <f>IF(ISNUMBER(H23/B23),H23/B23," - ")</f>
        <v>2.2857142857142856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2084</v>
      </c>
      <c r="E31" s="1085">
        <f>IF(ISNUMBER(D31/B31),D31/B31," - ")</f>
        <v>347.33333333333331</v>
      </c>
      <c r="F31" s="1084">
        <f>SUBTOTAL(9,F8:F30)</f>
        <v>3476</v>
      </c>
      <c r="G31" s="1085">
        <f>IF(ISNUMBER(F31/B31),F31/B31," - ")</f>
        <v>579.33333333333337</v>
      </c>
      <c r="H31" s="1084">
        <f>SUBTOTAL(9,H8:H30)</f>
        <v>1134</v>
      </c>
      <c r="I31" s="1085">
        <f>IF(ISNUMBER(H31/B31),H31/B31," - ")</f>
        <v>189</v>
      </c>
    </row>
    <row r="34" spans="1:1">
      <c r="A34" s="439" t="str">
        <f>Criterios!A4</f>
        <v>Fecha Informe: 15 abr. 2023</v>
      </c>
    </row>
    <row r="39" spans="1:1">
      <c r="A39" s="462"/>
    </row>
  </sheetData>
  <sheetProtection algorithmName="SHA-512" hashValue="54/OvdxCJ2LYPUqArfu7R62du6LmdZfb+PaGBpJI8tEliYNqkPeYvVwfg0KqNN6rexWK8SJIAHLEAlhGxF1Osw==" saltValue="oGmmmGhfybVynMJ73yN/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GETXO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929</v>
      </c>
      <c r="C12" s="489">
        <f>IF(ISNUMBER(Datos!Q12),Datos!Q12," - ")</f>
        <v>612</v>
      </c>
      <c r="D12" s="456">
        <f>IF(ISNUMBER(Datos!R12),Datos!R12," - ")</f>
        <v>2263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934</v>
      </c>
      <c r="C14" s="1150">
        <f>SUBTOTAL(9,C9:C13)</f>
        <v>614</v>
      </c>
      <c r="D14" s="1148">
        <f>SUBTOTAL(9,D9:D13)</f>
        <v>2269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244</v>
      </c>
      <c r="C17" s="489">
        <f>IF(ISNUMBER(Datos!Q17),Datos!Q17," - ")</f>
        <v>268</v>
      </c>
      <c r="D17" s="456">
        <f>IF(ISNUMBER(Datos!R17),Datos!R17," - ")</f>
        <v>173</v>
      </c>
    </row>
    <row r="18" spans="1:4">
      <c r="A18" s="450" t="str">
        <f>Datos!A18</f>
        <v>Jdos. Violencia contra la mujer</v>
      </c>
      <c r="B18" s="488">
        <f>IF(ISNUMBER(Datos!P18),Datos!P18," - ")</f>
        <v>8</v>
      </c>
      <c r="C18" s="489">
        <f>IF(ISNUMBER(Datos!Q18),Datos!Q18," - ")</f>
        <v>6</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252</v>
      </c>
      <c r="C23" s="1150">
        <f>SUBTOTAL(9,C16:C22)</f>
        <v>274</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1186</v>
      </c>
      <c r="C31" s="1089">
        <f>SUBTOTAL(9,C8:C30)</f>
        <v>888</v>
      </c>
      <c r="D31" s="1090">
        <f>SUBTOTAL(9,D8:D30)</f>
        <v>2448</v>
      </c>
    </row>
    <row r="32" spans="1:4" ht="7.5" customHeight="1"/>
    <row r="33" spans="1:1" ht="6" customHeight="1"/>
    <row r="34" spans="1:1">
      <c r="A34" s="439" t="str">
        <f>Criterios!A4</f>
        <v>Fecha Informe: 15 abr. 2023</v>
      </c>
    </row>
    <row r="39" spans="1:1">
      <c r="A39" s="462"/>
    </row>
  </sheetData>
  <sheetProtection algorithmName="SHA-512" hashValue="9zJDwOvoRJQUQEKQX9cDBmnxavW/qZy4vwVbmGcI9SEEBz1meBqtzZYXTWv0EFqeoCROnGIO8C7y0EdtT3K+CQ==" saltValue="pDPDbyYJJpwXM1oMFQwz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GETXO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1.1538461538461537</v>
      </c>
      <c r="D10" s="515">
        <f>IF(ISNUMBER((Datos!K10-Datos!U10)/Datos!U10),(Datos!K10-Datos!U10)/Datos!U10," - ")</f>
        <v>-0.15</v>
      </c>
      <c r="E10" s="515">
        <f>IF(ISNUMBER((Datos!L10-Datos!V10)/Datos!V10),(Datos!L10-Datos!V10)/Datos!V10," - ")</f>
        <v>1.5714285714285714</v>
      </c>
      <c r="F10" s="515">
        <f>IF(ISNUMBER((Datos!M10-Datos!W10)/Datos!W10),(Datos!M10-Datos!W10)/Datos!W10," - ")</f>
        <v>-0.25</v>
      </c>
      <c r="G10" s="516">
        <f>IF(ISNUMBER((Datos!N10-Datos!X10)/Datos!X10),(Datos!N10-Datos!X10)/Datos!X10," - ")</f>
        <v>-0.5</v>
      </c>
      <c r="H10" s="514">
        <f>IF(ISNUMBER(((NºAsuntos!G10/NºAsuntos!E10)-Datos!BD10)/Datos!BD10),((NºAsuntos!G10/NºAsuntos!E10)-Datos!BD10)/Datos!BD10," - ")</f>
        <v>-0.60535714285714293</v>
      </c>
      <c r="I10" s="515">
        <f>IF(ISNUMBER(((NºAsuntos!I10/NºAsuntos!G10)-Datos!BE10)/Datos!BE10),((NºAsuntos!I10/NºAsuntos!G10)-Datos!BE10)/Datos!BE10," - ")</f>
        <v>2.0252100840336138</v>
      </c>
      <c r="J10" s="521">
        <f>IF(ISNUMBER((('Resol  Asuntos'!D10/NºAsuntos!G10)-Datos!BF10)/Datos!BF10),(('Resol  Asuntos'!D10/NºAsuntos!G10)-Datos!BF10)/Datos!BF10," - ")</f>
        <v>-0.11764705882352941</v>
      </c>
      <c r="K10" s="522">
        <f>IF(ISNUMBER((((NºAsuntos!C10+NºAsuntos!E10)/NºAsuntos!G10)-Datos!BG10)/Datos!BG10),(((NºAsuntos!C10+NºAsuntos!E10)/NºAsuntos!G10)-Datos!BG10)/Datos!BG10," - ")</f>
        <v>0.52505446623093655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-0.17988614800759015</v>
      </c>
      <c r="C12" s="515">
        <f>IF(ISNUMBER(
   IF(J_V="SI",(Datos!J12-Datos!T12)/Datos!T12,(Datos!J12+Datos!Z12-(Datos!T12+Datos!AH12))/(Datos!T12+Datos!AH12))
     ),IF(J_V="SI",(Datos!J12-Datos!T12)/Datos!T12,(Datos!J12+Datos!Z12-(Datos!T12+Datos!AH12))/(Datos!T12+Datos!AH12))," - ")</f>
        <v>-5.1427102082797634E-4</v>
      </c>
      <c r="D12" s="515">
        <f>IF(ISNUMBER(
   IF(J_V="SI",(Datos!K12-Datos!U12)/Datos!U12,(Datos!K12+Datos!AA12-(Datos!U12+Datos!AI12))/(Datos!U12+Datos!AI12))
     ),IF(J_V="SI",(Datos!K12-Datos!U12)/Datos!U12,(Datos!K12+Datos!AA12-(Datos!U12+Datos!AI12))/(Datos!U12+Datos!AI12))," - ")</f>
        <v>-8.3372809095215536E-2</v>
      </c>
      <c r="E12" s="515">
        <f>IF(ISNUMBER(
   IF(J_V="SI",(Datos!L12-Datos!V12)/Datos!V12,(Datos!L12+Datos!AB12-(Datos!V12+Datos!AJ12))/(Datos!V12+Datos!AJ12))
     ),IF(J_V="SI",(Datos!L12-Datos!V12)/Datos!V12,(Datos!L12+Datos!AB12-(Datos!V12+Datos!AJ12))/(Datos!V12+Datos!AJ12))," - ")</f>
        <v>9.7177232762609908E-3</v>
      </c>
      <c r="F12" s="515">
        <f>IF(ISNUMBER((Datos!M12-Datos!W12)/Datos!W12),(Datos!M12-Datos!W12)/Datos!W12," - ")</f>
        <v>-0.1340549542048293</v>
      </c>
      <c r="G12" s="516">
        <f>IF(ISNUMBER((Datos!N12-Datos!X12)/Datos!X12),(Datos!N12-Datos!X12)/Datos!X12," - ")</f>
        <v>-0.11090909090909092</v>
      </c>
      <c r="H12" s="514">
        <f>IF(ISNUMBER(((NºAsuntos!G12/NºAsuntos!E12)-Datos!BD12)/Datos!BD12),((NºAsuntos!G12/NºAsuntos!E12)-Datos!BD12)/Datos!BD12," - ")</f>
        <v>-8.2901171744608468E-2</v>
      </c>
      <c r="I12" s="515">
        <f>IF(ISNUMBER(((NºAsuntos!I12/NºAsuntos!G12)-Datos!BE12)/Datos!BE12),((NºAsuntos!I12/NºAsuntos!G12)-Datos!BE12)/Datos!BE12," - ")</f>
        <v>0.10155768156908886</v>
      </c>
      <c r="J12" s="521">
        <f>IF(ISNUMBER((('Resol  Asuntos'!D12/NºAsuntos!G12)-Datos!BF12)/Datos!BF12),(('Resol  Asuntos'!D12/NºAsuntos!G12)-Datos!BF12)/Datos!BF12," - ")</f>
        <v>-0.31236708166940724</v>
      </c>
      <c r="K12" s="522">
        <f>IF(ISNUMBER((((NºAsuntos!C12+NºAsuntos!E12)/NºAsuntos!G12)-Datos!BG12)/Datos!BG12),(((NºAsuntos!C12+NºAsuntos!E12)/NºAsuntos!G12)-Datos!BG12)/Datos!BG12," - ")</f>
        <v>1.1358419003892541E-2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-0.18157795394488485</v>
      </c>
      <c r="C14" s="1152">
        <f>IF(ISNUMBER(
   IF(J_V="SI",(Datos!J14-Datos!T14)/Datos!T14,(Datos!J14+Datos!Z14-(Datos!T14+Datos!AH14))/(Datos!T14+Datos!AH14))
     ),IF(J_V="SI",(Datos!J14-Datos!T14)/Datos!T14,(Datos!J14+Datos!Z14-(Datos!T14+Datos!AH14))/(Datos!T14+Datos!AH14))," - ")</f>
        <v>3.3316248077908763E-3</v>
      </c>
      <c r="D14" s="1152">
        <f>IF(ISNUMBER(
   IF(J_V="SI",(Datos!K14-Datos!U14)/Datos!U14,(Datos!K14+Datos!AA14-(Datos!U14+Datos!AI14))/(Datos!U14+Datos!AI14))
     ),IF(J_V="SI",(Datos!K14-Datos!U14)/Datos!U14,(Datos!K14+Datos!AA14-(Datos!U14+Datos!AI14))/(Datos!U14+Datos!AI14))," - ")</f>
        <v>-8.3686940122583681E-2</v>
      </c>
      <c r="E14" s="1152">
        <f>IF(ISNUMBER(
   IF(J_V="SI",(Datos!L14-Datos!V14)/Datos!V14,(Datos!L14+Datos!AB14-(Datos!V14+Datos!AJ14))/(Datos!V14+Datos!AJ14))
     ),IF(J_V="SI",(Datos!L14-Datos!V14)/Datos!V14,(Datos!L14+Datos!AB14-(Datos!V14+Datos!AJ14))/(Datos!V14+Datos!AJ14))," - ")</f>
        <v>1.4760147601476014E-2</v>
      </c>
      <c r="F14" s="1153">
        <f>IF(ISNUMBER((Datos!M14-Datos!W14)/Datos!W14),(Datos!M14-Datos!W14)/Datos!W14," - ")</f>
        <v>-0.13557929334428923</v>
      </c>
      <c r="G14" s="1154">
        <f>IF(ISNUMBER((Datos!N14-Datos!X14)/Datos!X14),(Datos!N14-Datos!X14)/Datos!X14," - ")</f>
        <v>-0.11185006045949214</v>
      </c>
      <c r="H14" s="1154">
        <f>IF(ISNUMBER(((NºAsuntos!G14/NºAsuntos!E14)-Datos!BD14)/Datos!BD14),((NºAsuntos!G14/NºAsuntos!E14)-Datos!BD14)/Datos!BD14," - ")</f>
        <v>-8.6729614395484378E-2</v>
      </c>
      <c r="I14" s="1154">
        <f>IF(ISNUMBER(((NºAsuntos!I14/NºAsuntos!G14)-Datos!BE14)/Datos!BE14),((NºAsuntos!I14/NºAsuntos!G14)-Datos!BE14)/Datos!BE14," - ")</f>
        <v>0.10743826759080558</v>
      </c>
      <c r="J14" s="1154">
        <f>IF(ISNUMBER((('Resol  Asuntos'!D14/NºAsuntos!G14)-Datos!BF14)/Datos!BF14),(('Resol  Asuntos'!D14/NºAsuntos!G14)-Datos!BF14)/Datos!BF14," - ")</f>
        <v>-0.31087680763069303</v>
      </c>
      <c r="K14" s="1154">
        <f>IF(ISNUMBER((((NºAsuntos!C14+NºAsuntos!E14)/NºAsuntos!G14)-Datos!BG14)/Datos!BG14),(((NºAsuntos!C14+NºAsuntos!E14)/NºAsuntos!G14)-Datos!BG14)/Datos!BG14," - ")</f>
        <v>1.3366027146761706E-2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4.2914979757085019E-2</v>
      </c>
      <c r="C17" s="515">
        <f>IF(ISNUMBER(
   IF(D_I="SI",(Datos!J17-Datos!T17)/Datos!T17,(Datos!J17+Datos!AD17-(Datos!T17+Datos!AL17))/(Datos!T17+Datos!AL17))
     ),IF(D_I="SI",(Datos!J17-Datos!T17)/Datos!T17,(Datos!J17+Datos!AD17-(Datos!T17+Datos!AL17))/(Datos!T17+Datos!AL17))," - ")</f>
        <v>0.17943866288237148</v>
      </c>
      <c r="D17" s="515">
        <f>IF(ISNUMBER(
   IF(D_I="SI",(Datos!K17-Datos!U17)/Datos!U17,(Datos!K17+Datos!AE17-(Datos!U17+Datos!AM17))/(Datos!U17+Datos!AM17))
     ),IF(D_I="SI",(Datos!K17-Datos!U17)/Datos!U17,(Datos!K17+Datos!AE17-(Datos!U17+Datos!AM17))/(Datos!U17+Datos!AM17))," - ")</f>
        <v>0.20338431500162707</v>
      </c>
      <c r="E17" s="515">
        <f>IF(ISNUMBER(
   IF(D_I="SI",(Datos!L17-Datos!V17)/Datos!V17,(Datos!L17+Datos!AF17-(Datos!V17+Datos!AN17))/(Datos!V17+Datos!AN17))
     ),IF(D_I="SI",(Datos!L17-Datos!V17)/Datos!V17,(Datos!L17+Datos!AF17-(Datos!V17+Datos!AN17))/(Datos!V17+Datos!AN17))," - ")</f>
        <v>0.11335403726708075</v>
      </c>
      <c r="F17" s="515">
        <f>IF(ISNUMBER((Datos!M17-Datos!W17)/Datos!W17),(Datos!M17-Datos!W17)/Datos!W17," - ")</f>
        <v>0.1380952380952381</v>
      </c>
      <c r="G17" s="516">
        <f>IF(ISNUMBER((Datos!N17-Datos!X17)/Datos!X17),(Datos!N17-Datos!X17)/Datos!X17," - ")</f>
        <v>0.25626342161775234</v>
      </c>
      <c r="H17" s="514">
        <f>IF(ISNUMBER(((NºAsuntos!G17/NºAsuntos!E17)-Datos!BD17)/Datos!BD17),((NºAsuntos!G17/NºAsuntos!E17)-Datos!BD17)/Datos!BD17," - ")</f>
        <v>2.0302583655122896E-2</v>
      </c>
      <c r="I17" s="515">
        <f>IF(ISNUMBER(((NºAsuntos!I17/NºAsuntos!G17)-Datos!BE17)/Datos!BE17),((NºAsuntos!I17/NºAsuntos!G17)-Datos!BE17)/Datos!BE17," - ")</f>
        <v>-7.4814235662050019E-2</v>
      </c>
      <c r="J17" s="521">
        <f>IF(ISNUMBER((('Resol  Asuntos'!D17/NºAsuntos!G17)-Datos!BF17)/Datos!BF17),(('Resol  Asuntos'!D17/NºAsuntos!G17)-Datos!BF17)/Datos!BF17," - ")</f>
        <v>-5.4254552010095533E-2</v>
      </c>
      <c r="K17" s="522">
        <f>IF(ISNUMBER((((NºAsuntos!C17+NºAsuntos!E17)/NºAsuntos!G17)-Datos!BG17)/Datos!BG17),(((NºAsuntos!C17+NºAsuntos!E17)/NºAsuntos!G17)-Datos!BG17)/Datos!BG17," - ")</f>
        <v>-5.1698517214467693E-2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-0.20779220779220781</v>
      </c>
      <c r="C18" s="515">
        <f>IF(ISNUMBER(
   IF(D_I="SI",(Datos!J18-Datos!T18)/Datos!T18,(Datos!J18+Datos!AD18-(Datos!T18+Datos!AL18))/(Datos!T18+Datos!AL18))
     ),IF(D_I="SI",(Datos!J18-Datos!T18)/Datos!T18,(Datos!J18+Datos!AD18-(Datos!T18+Datos!AL18))/(Datos!T18+Datos!AL18))," - ")</f>
        <v>0.31853785900783288</v>
      </c>
      <c r="D18" s="515">
        <f>IF(ISNUMBER(
   IF(D_I="SI",(Datos!K18-Datos!U18)/Datos!U18,(Datos!K18+Datos!AE18-(Datos!U18+Datos!AM18))/(Datos!U18+Datos!AM18))
     ),IF(D_I="SI",(Datos!K18-Datos!U18)/Datos!U18,(Datos!K18+Datos!AE18-(Datos!U18+Datos!AM18))/(Datos!U18+Datos!AM18))," - ")</f>
        <v>0.15180722891566265</v>
      </c>
      <c r="E18" s="515">
        <f>IF(ISNUMBER(
   IF(D_I="SI",(Datos!L18-Datos!V18)/Datos!V18,(Datos!L18+Datos!AF18-(Datos!V18+Datos!AN18))/(Datos!V18+Datos!AN18))
     ),IF(D_I="SI",(Datos!L18-Datos!V18)/Datos!V18,(Datos!L18+Datos!AF18-(Datos!V18+Datos!AN18))/(Datos!V18+Datos!AN18))," - ")</f>
        <v>0.22131147540983606</v>
      </c>
      <c r="F18" s="515">
        <f>IF(ISNUMBER((Datos!M18-Datos!W18)/Datos!W18),(Datos!M18-Datos!W18)/Datos!W18," - ")</f>
        <v>0.24590163934426229</v>
      </c>
      <c r="G18" s="516">
        <f>IF(ISNUMBER((Datos!N18-Datos!X18)/Datos!X18),(Datos!N18-Datos!X18)/Datos!X18," - ")</f>
        <v>0.20574162679425836</v>
      </c>
      <c r="H18" s="514">
        <f>IF(ISNUMBER(((NºAsuntos!G18/NºAsuntos!E18)-Datos!BD18)/Datos!BD18),((NºAsuntos!G18/NºAsuntos!E18)-Datos!BD18)/Datos!BD18," - ")</f>
        <v>-0.12645115113921032</v>
      </c>
      <c r="I18" s="515">
        <f>IF(ISNUMBER(((NºAsuntos!I18/NºAsuntos!G18)-Datos!BE18)/Datos!BE18),((NºAsuntos!I18/NºAsuntos!G18)-Datos!BE18)/Datos!BE18," - ")</f>
        <v>6.0343644968790668E-2</v>
      </c>
      <c r="J18" s="521">
        <f>IF(ISNUMBER((('Resol  Asuntos'!D18/NºAsuntos!G18)-Datos!BF18)/Datos!BF18),(('Resol  Asuntos'!D18/NºAsuntos!G18)-Datos!BF18)/Datos!BF18," - ")</f>
        <v>8.1692845874202516E-2</v>
      </c>
      <c r="K18" s="522">
        <f>IF(ISNUMBER((((NºAsuntos!C18+NºAsuntos!E18)/NºAsuntos!G18)-Datos!BG18)/Datos!BG18),(((NºAsuntos!C18+NºAsuntos!E18)/NºAsuntos!G18)-Datos!BG18)/Datos!BG18," - ")</f>
        <v>1.3709356957527905E-2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1.511879049676026E-2</v>
      </c>
      <c r="C23" s="1152">
        <f>IF(ISNUMBER(
   IF(Criterios!B14="SI",(Datos!J23-Datos!T23)/Datos!T23,(Datos!J23+Datos!AD23-(Datos!T23+Datos!AL23))/(Datos!T23+Datos!AL23))
     ),IF(Criterios!B14="SI",(Datos!J23-Datos!T23)/Datos!T23,(Datos!J23+Datos!AD23-(Datos!T23+Datos!AL23))/(Datos!T23+Datos!AL23))," - ")</f>
        <v>0.19442881260551492</v>
      </c>
      <c r="D23" s="1152">
        <f>IF(ISNUMBER(
   IF(Criterios!B14="SI",(Datos!K23-Datos!U23)/Datos!U23,(Datos!K23+Datos!AE23-(Datos!U23+Datos!AM23))/(Datos!U23+Datos!AM23))
     ),IF(Criterios!B14="SI",(Datos!K23-Datos!U23)/Datos!U23,(Datos!K23+Datos!AE23-(Datos!U23+Datos!AM23))/(Datos!U23+Datos!AM23))," - ")</f>
        <v>0.19724770642201836</v>
      </c>
      <c r="E23" s="1152">
        <f>IF(ISNUMBER(
   IF(Criterios!B14="SI",(Datos!L23-Datos!V23)/Datos!V23,(Datos!L23+Datos!AF23-(Datos!V23+Datos!AN23))/(Datos!V23+Datos!AN23))
     ),IF(Criterios!B14="SI",(Datos!L23-Datos!V23)/Datos!V23,(Datos!L23+Datos!AF23-(Datos!V23+Datos!AN23))/(Datos!V23+Datos!AN23))," - ")</f>
        <v>0.1226950354609929</v>
      </c>
      <c r="F23" s="1153">
        <f>IF(ISNUMBER((Datos!M23-Datos!W23)/Datos!W23),(Datos!M23-Datos!W23)/Datos!W23," - ")</f>
        <v>0.14539400665926749</v>
      </c>
      <c r="G23" s="1154">
        <f>IF(ISNUMBER((Datos!N23-Datos!X23)/Datos!X23),(Datos!N23-Datos!X23)/Datos!X23," - ")</f>
        <v>0.24968866749688667</v>
      </c>
      <c r="H23" s="1154">
        <f>IF(ISNUMBER(((NºAsuntos!G23/NºAsuntos!E23)-Datos!BD23)/Datos!BD23),((NºAsuntos!G23/NºAsuntos!E23)-Datos!BD23)/Datos!BD23," - ")</f>
        <v>2.3600350115084356E-3</v>
      </c>
      <c r="I23" s="1154">
        <f>IF(ISNUMBER(((NºAsuntos!I23/NºAsuntos!G23)-Datos!BE23)/Datos!BE23),((NºAsuntos!I23/NºAsuntos!G23)-Datos!BE23)/Datos!BE23," - ")</f>
        <v>-6.2270047009592128E-2</v>
      </c>
      <c r="J23" s="1154">
        <f>IF(ISNUMBER((('Resol  Asuntos'!D23/NºAsuntos!G23)-Datos!BF23)/Datos!BF23),(('Resol  Asuntos'!D23/NºAsuntos!G23)-Datos!BF23)/Datos!BF23," - ")</f>
        <v>-4.3310753058542956E-2</v>
      </c>
      <c r="K23" s="1154">
        <f>IF(ISNUMBER((((NºAsuntos!C23+NºAsuntos!E23)/NºAsuntos!G23)-Datos!BG23)/Datos!BG23),(((NºAsuntos!C23+NºAsuntos!E23)/NºAsuntos!G23)-Datos!BG23)/Datos!BG23," - ")</f>
        <v>-4.4439948749072714E-2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-0.11391778107974244</v>
      </c>
      <c r="C31" s="1092">
        <f>IF(ISNUMBER(
   IF(J_V="SI",(Datos!J31-Datos!T31)/Datos!T31,(Datos!J31+Datos!Z31-(Datos!T31+Datos!AH31))/(Datos!T31+Datos!AH31))
     ),IF(J_V="SI",(Datos!J31-Datos!T31)/Datos!T31,(Datos!J31+Datos!Z31-(Datos!T31+Datos!AH31))/(Datos!T31+Datos!AH31))," - ")</f>
        <v>9.4420600858369105E-2</v>
      </c>
      <c r="D31" s="1092">
        <f>IF(ISNUMBER(
   IF(J_V="SI",(Datos!K31-Datos!U31)/Datos!U31,(Datos!K31+Datos!AA31-(Datos!U31+Datos!AI31))/(Datos!U31+Datos!AI31))
     ),IF(J_V="SI",(Datos!K31-Datos!U31)/Datos!U31,(Datos!K31+Datos!AA31-(Datos!U31+Datos!AI31))/(Datos!U31+Datos!AI31))," - ")</f>
        <v>4.3078913324708923E-2</v>
      </c>
      <c r="E31" s="1092">
        <f>IF(ISNUMBER(
   IF(J_V="SI",(Datos!L31-Datos!V31)/Datos!V31,(Datos!L31+Datos!AB31-(Datos!V31+Datos!AJ31))/(Datos!V31+Datos!AJ31))
     ),IF(J_V="SI",(Datos!L31-Datos!V31)/Datos!V31,(Datos!L31+Datos!AB31-(Datos!V31+Datos!AJ31))/(Datos!V31+Datos!AJ31))," - ")</f>
        <v>5.7294577976523195E-2</v>
      </c>
      <c r="F31" s="1093">
        <f>IF(ISNUMBER((Datos!M31-Datos!W31)/Datos!W31),(Datos!M31-Datos!W31)/Datos!W31," - ")</f>
        <v>-1.6052880075542966E-2</v>
      </c>
      <c r="G31" s="1094">
        <f>IF(ISNUMBER((Datos!N31-Datos!X31)/Datos!X31),(Datos!N31-Datos!X31)/Datos!X31," - ")</f>
        <v>6.6257668711656448E-2</v>
      </c>
      <c r="H31" s="1095">
        <f>IF(ISNUMBER((Tasas!B31-Datos!BD31)/Datos!BD31),(Tasas!B31-Datos!BD31)/Datos!BD31," - ")</f>
        <v>-4.691220860918742E-2</v>
      </c>
      <c r="I31" s="1096">
        <f>IF(ISNUMBER((Tasas!C31-Datos!BE31)/Datos!BE31),(Tasas!C31-Datos!BE31)/Datos!BE31," - ")</f>
        <v>1.3628561051534708E-2</v>
      </c>
      <c r="J31" s="1097">
        <f>IF(ISNUMBER((Tasas!D31-Datos!BF31)/Datos!BF31),(Tasas!D31-Datos!BF31)/Datos!BF31," - ")</f>
        <v>-0.22168629096894293</v>
      </c>
      <c r="K31" s="1097">
        <f>IF(ISNUMBER((Tasas!E31-Datos!BG31)/Datos!BG31),(Tasas!E31-Datos!BG31)/Datos!BG31," - ")</f>
        <v>-2.0948028015242183E-2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aa/P+RWsJTRLr76BBkFZ9rKbZiX9EaWnHeR49SCK6Mn2QLqW5gmmVKC/8RRzPIRtK232xQp06ZLw3M/ozyD6w==" saltValue="S0Oqz3mba8fBsX9iYyfT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GETXO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0.6071428571428571</v>
      </c>
      <c r="C10" s="498">
        <f>IF(ISNUMBER(NºAsuntos!I10/NºAsuntos!G10),NºAsuntos!I10/NºAsuntos!G10," - ")</f>
        <v>1.0588235294117647</v>
      </c>
      <c r="D10" s="499">
        <f>IF(ISNUMBER('Resol  Asuntos'!D10/NºAsuntos!G10),'Resol  Asuntos'!D10/NºAsuntos!G10," - ")</f>
        <v>0.70588235294117652</v>
      </c>
      <c r="E10" s="500">
        <f>IF(ISNUMBER((NºAsuntos!C10+NºAsuntos!E10)/NºAsuntos!G10),(NºAsuntos!C10+NºAsuntos!E10)/NºAsuntos!G10," - ")</f>
        <v>2.0588235294117645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0.99562644713146387</v>
      </c>
      <c r="C12" s="498">
        <f>IF(ISNUMBER(NºAsuntos!I12/NºAsuntos!G12),NºAsuntos!I12/NºAsuntos!G12," - ")</f>
        <v>0.56382428940568474</v>
      </c>
      <c r="D12" s="499">
        <f>IF(ISNUMBER('Resol  Asuntos'!D12/NºAsuntos!G12),'Resol  Asuntos'!D12/NºAsuntos!G12," - ")</f>
        <v>0.26873385012919898</v>
      </c>
      <c r="E12" s="500">
        <f>IF(ISNUMBER((NºAsuntos!C12+NºAsuntos!E12)/NºAsuntos!G12),(NºAsuntos!C12+NºAsuntos!E12)/NºAsuntos!G12," - ")</f>
        <v>1.5627906976744186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0.99284802043422737</v>
      </c>
      <c r="C14" s="1156">
        <f>IF(ISNUMBER(NºAsuntos!I14/NºAsuntos!G14),NºAsuntos!I14/NºAsuntos!G14," - ")</f>
        <v>0.56598919475173659</v>
      </c>
      <c r="D14" s="1157">
        <f>IF(ISNUMBER('Resol  Asuntos'!D14/NºAsuntos!G14),'Resol  Asuntos'!D14/NºAsuntos!G14," - ")</f>
        <v>0.27064574221764859</v>
      </c>
      <c r="E14" s="1158">
        <f>IF(ISNUMBER((NºAsuntos!C14+NºAsuntos!E14)/NºAsuntos!G14),(NºAsuntos!C14+NºAsuntos!E14)/NºAsuntos!G14," - ")</f>
        <v>1.5649601234885515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0.98877005347593583</v>
      </c>
      <c r="C17" s="498">
        <f>IF(ISNUMBER(NºAsuntos!I17/NºAsuntos!G17),NºAsuntos!I17/NºAsuntos!G17," - ")</f>
        <v>0.38777717685235263</v>
      </c>
      <c r="D17" s="499">
        <f>IF(ISNUMBER('Resol  Asuntos'!D17/NºAsuntos!G17),'Resol  Asuntos'!D17/NºAsuntos!G17," - ")</f>
        <v>0.25851811790156842</v>
      </c>
      <c r="E17" s="500">
        <f>IF(ISNUMBER((NºAsuntos!C17+NºAsuntos!E17)/NºAsuntos!G17),(NºAsuntos!C17+NºAsuntos!E17)/NºAsuntos!G17," - ")</f>
        <v>1.3596538669551108</v>
      </c>
      <c r="G17" s="523"/>
    </row>
    <row r="18" spans="1:7">
      <c r="A18" s="450" t="str">
        <f>Datos!A18</f>
        <v>Jdos. Violencia contra la mujer</v>
      </c>
      <c r="B18" s="497">
        <f>IF(ISNUMBER(NºAsuntos!G18/NºAsuntos!E18),NºAsuntos!G18/NºAsuntos!E18," - ")</f>
        <v>0.94653465346534649</v>
      </c>
      <c r="C18" s="498">
        <f>IF(ISNUMBER(NºAsuntos!I18/NºAsuntos!G18),NºAsuntos!I18/NºAsuntos!G18," - ")</f>
        <v>0.31171548117154813</v>
      </c>
      <c r="D18" s="499">
        <f>IF(ISNUMBER('Resol  Asuntos'!D18/NºAsuntos!G18),'Resol  Asuntos'!D18/NºAsuntos!G18," - ")</f>
        <v>0.15899581589958159</v>
      </c>
      <c r="E18" s="500">
        <f>IF(ISNUMBER((NºAsuntos!C18+NºAsuntos!E18)/NºAsuntos!G18),(NºAsuntos!C18+NºAsuntos!E18)/NºAsuntos!G18," - ")</f>
        <v>1.3117154811715481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0.98374558303886928</v>
      </c>
      <c r="C23" s="1156">
        <f>IF(ISNUMBER(NºAsuntos!I23/NºAsuntos!G23),NºAsuntos!I23/NºAsuntos!G23," - ")</f>
        <v>0.37907088122605365</v>
      </c>
      <c r="D23" s="1159">
        <f>IF(ISNUMBER('Resol  Asuntos'!D23/NºAsuntos!G23),'Resol  Asuntos'!D23/NºAsuntos!G23," - ")</f>
        <v>0.2471264367816092</v>
      </c>
      <c r="E23" s="1158">
        <f>IF(ISNUMBER((NºAsuntos!C23+NºAsuntos!E23)/NºAsuntos!G23),(NºAsuntos!C23+NºAsuntos!E23)/NºAsuntos!G23," - ")</f>
        <v>1.3541666666666667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0.98811274509803926</v>
      </c>
      <c r="C31" s="1099">
        <f>IF(ISNUMBER(NºAsuntos!I31/NºAsuntos!G31),NºAsuntos!I31/NºAsuntos!G31," - ")</f>
        <v>0.46918020587870518</v>
      </c>
      <c r="D31" s="1100">
        <f>IF(ISNUMBER('Resol  Asuntos'!D31/NºAsuntos!G31),'Resol  Asuntos'!D31/NºAsuntos!G31," - ")</f>
        <v>0.25846459134317251</v>
      </c>
      <c r="E31" s="1101">
        <f>IF(ISNUMBER((NºAsuntos!C31+NºAsuntos!E31)/NºAsuntos!G31),(NºAsuntos!C31+NºAsuntos!E31)/NºAsuntos!G31," - ")</f>
        <v>1.4557856877092894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YCSeZ71c8H5i2lFfLULA0umWsDXjeUMzqwZVzU+Un+3so/Jdhy77MYsCIck3niJRIEITqLeMQdAZ4oT30UWAQ==" saltValue="aXBabPE5a92m+nsV2I1A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GETXO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18</v>
      </c>
      <c r="AB10" s="374">
        <f>IF(ISNUMBER(Datos!R10),Datos!R10," - ")</f>
        <v>6</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0.6071428571428571</v>
      </c>
      <c r="AM10" s="284">
        <f>IF(ISNUMBER(((NºAsuntos!I10/NºAsuntos!G10)*11)/factor_trimestre),((NºAsuntos!I10/NºAsuntos!G10)*11)/factor_trimestre," - ")</f>
        <v>11.647058823529411</v>
      </c>
      <c r="AN10" s="267">
        <f>IF(ISNUMBER('Resol  Asuntos'!D10/NºAsuntos!G10),'Resol  Asuntos'!D10/NºAsuntos!G10," - ")</f>
        <v>0.70588235294117652</v>
      </c>
      <c r="AO10" s="268">
        <f>IF(ISNUMBER((NºAsuntos!C10+NºAsuntos!E10)/NºAsuntos!G10),(NºAsuntos!C10+NºAsuntos!E10)/NºAsuntos!G10," - ")</f>
        <v>2.0588235294117645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612</v>
      </c>
      <c r="Y12" s="374">
        <f t="shared" si="0"/>
        <v>612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1040</v>
      </c>
      <c r="AJ12" s="243" t="str">
        <f>IF(ISNUMBER(Datos!BW12),Datos!BW12," - ")</f>
        <v xml:space="preserve"> - </v>
      </c>
      <c r="AK12" s="242" t="str">
        <f>IF(ISNUMBER(Datos!BX12),Datos!BX12," - ")</f>
        <v xml:space="preserve"> - </v>
      </c>
      <c r="AL12" s="266">
        <f>IF(ISNUMBER(NºAsuntos!G12/NºAsuntos!E12),NºAsuntos!G12/NºAsuntos!E12," - ")</f>
        <v>0.99562644713146387</v>
      </c>
      <c r="AM12" s="284">
        <f>IF(ISNUMBER(((NºAsuntos!I12/NºAsuntos!G12)*11)/factor_trimestre),((NºAsuntos!I12/NºAsuntos!G12)*11)/factor_trimestre," - ")</f>
        <v>6.2020671834625318</v>
      </c>
      <c r="AN12" s="267">
        <f>IF(ISNUMBER('Resol  Asuntos'!D12/NºAsuntos!G12),'Resol  Asuntos'!D12/NºAsuntos!G12," - ")</f>
        <v>0.26873385012919898</v>
      </c>
      <c r="AO12" s="268">
        <f>IF(ISNUMBER((NºAsuntos!C12+NºAsuntos!E12)/NºAsuntos!G12),(NºAsuntos!C12+NºAsuntos!E12)/NºAsuntos!G12," - ")</f>
        <v>1.5627906976744186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v>
      </c>
      <c r="G14" s="1163">
        <f t="shared" si="5"/>
        <v>7</v>
      </c>
      <c r="H14" s="1162">
        <f t="shared" si="5"/>
        <v>0</v>
      </c>
      <c r="I14" s="1164">
        <f t="shared" si="5"/>
        <v>0</v>
      </c>
      <c r="J14" s="1164">
        <f t="shared" si="5"/>
        <v>0</v>
      </c>
      <c r="K14" s="1164">
        <f t="shared" si="5"/>
        <v>0</v>
      </c>
      <c r="L14" s="1164">
        <f t="shared" si="5"/>
        <v>934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614</v>
      </c>
      <c r="Y14" s="1165">
        <f t="shared" si="6"/>
        <v>631</v>
      </c>
      <c r="Z14" s="1165">
        <f t="shared" si="6"/>
        <v>0</v>
      </c>
      <c r="AA14" s="1165">
        <f t="shared" si="6"/>
        <v>18</v>
      </c>
      <c r="AB14" s="1165">
        <f t="shared" si="6"/>
        <v>2269</v>
      </c>
      <c r="AC14" s="1165">
        <f t="shared" si="6"/>
        <v>24</v>
      </c>
      <c r="AD14" s="1165">
        <f t="shared" si="6"/>
        <v>0</v>
      </c>
      <c r="AE14" s="1169">
        <f t="shared" si="6"/>
        <v>0</v>
      </c>
      <c r="AF14" s="1162">
        <f t="shared" si="6"/>
        <v>0</v>
      </c>
      <c r="AG14" s="1170">
        <f t="shared" si="6"/>
        <v>0</v>
      </c>
      <c r="AH14" s="1167">
        <f t="shared" si="6"/>
        <v>0</v>
      </c>
      <c r="AI14" s="1162">
        <f t="shared" si="6"/>
        <v>1052</v>
      </c>
      <c r="AJ14" s="1164">
        <f t="shared" si="6"/>
        <v>0</v>
      </c>
      <c r="AK14" s="1167">
        <f>SUBTOTAL(9,AK9:AK13)</f>
        <v>0</v>
      </c>
      <c r="AL14" s="1171">
        <f>IF(ISNUMBER(NºAsuntos!G14/NºAsuntos!E14),NºAsuntos!G14/NºAsuntos!E14," - ")</f>
        <v>0.99284802043422737</v>
      </c>
      <c r="AM14" s="1171">
        <f>IF(ISNUMBER(((NºAsuntos!I14/NºAsuntos!G14)*11)/factor_trimestre),((NºAsuntos!I14/NºAsuntos!G14)*11)/factor_trimestre," - ")</f>
        <v>6.2258811422691025</v>
      </c>
      <c r="AN14" s="1172">
        <f>IF(ISNUMBER('Resol  Asuntos'!D14/NºAsuntos!G14),'Resol  Asuntos'!D14/NºAsuntos!G14," - ")</f>
        <v>0.27064574221764859</v>
      </c>
      <c r="AO14" s="1173">
        <f>IF(ISNUMBER((NºAsuntos!C14+NºAsuntos!E14)/NºAsuntos!G14),(NºAsuntos!C14+NºAsuntos!E14)/NºAsuntos!G14," - ")</f>
        <v>1.5649601234885515</v>
      </c>
      <c r="AP14" s="1174" t="str">
        <f t="shared" si="2"/>
        <v xml:space="preserve"> - </v>
      </c>
      <c r="AQ14" s="1174">
        <f>IF(ISNUMBER((H14-W14+K14)/(F14)),(H14-W14+K14)/(F14)," - ")</f>
        <v>-2.4285714285714284</v>
      </c>
      <c r="AR14" s="1175">
        <f>IF(ISNUMBER((Datos!P14-Datos!Q14)/(Datos!R14-Datos!P14+Datos!Q14)),(Datos!P14-Datos!Q14)/(Datos!R14-Datos!P14+Datos!Q14)," - ")</f>
        <v>0.16418676244227809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1392</v>
      </c>
      <c r="G17" s="373">
        <f>IF(ISNUMBER(IF(D_I="SI",Datos!I17,Datos!I17+Datos!AC17)),IF(D_I="SI",Datos!I17,Datos!I17+Datos!AC17)," - ")</f>
        <v>1288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3698</v>
      </c>
      <c r="X17" s="240">
        <f>IF(ISNUMBER(Datos!Q17),Datos!Q17," - ")</f>
        <v>268</v>
      </c>
      <c r="Y17" s="374">
        <f t="shared" ref="Y17:Y22" si="9">SUM(W17:X17)</f>
        <v>3966</v>
      </c>
      <c r="Z17" s="375" t="str">
        <f>IF(ISNUMBER(Datos!CC17),Datos!CC17," - ")</f>
        <v xml:space="preserve"> - </v>
      </c>
      <c r="AA17" s="372">
        <f>IF(ISNUMBER(IF(D_I="SI",Datos!L17,Datos!L17+Datos!AF17)),IF(D_I="SI",Datos!L17,Datos!L17+Datos!AF17)," - ")</f>
        <v>1434</v>
      </c>
      <c r="AB17" s="374">
        <f>IF(ISNUMBER(Datos!R17),Datos!R17," - ")</f>
        <v>173</v>
      </c>
      <c r="AC17" s="374">
        <f t="shared" si="8"/>
        <v>1607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956</v>
      </c>
      <c r="AJ17" s="245" t="str">
        <f>IF(ISNUMBER(Datos!BW17),Datos!BW17," - ")</f>
        <v xml:space="preserve"> - </v>
      </c>
      <c r="AK17" s="246" t="str">
        <f>IF(ISNUMBER(Datos!BX17),Datos!BX17," - ")</f>
        <v xml:space="preserve"> - </v>
      </c>
      <c r="AL17" s="266">
        <f>IF(ISNUMBER(NºAsuntos!G17/NºAsuntos!E17),NºAsuntos!G17/NºAsuntos!E17," - ")</f>
        <v>0.98877005347593583</v>
      </c>
      <c r="AM17" s="284">
        <f>IF(ISNUMBER(((NºAsuntos!I17/NºAsuntos!G17)*11)/factor_trimestre),((NºAsuntos!I17/NºAsuntos!G17)*11)/factor_trimestre," - ")</f>
        <v>4.2655489453758788</v>
      </c>
      <c r="AN17" s="267">
        <f>IF(ISNUMBER('Resol  Asuntos'!D17/NºAsuntos!G17),'Resol  Asuntos'!D17/NºAsuntos!G17," - ")</f>
        <v>0.25851811790156842</v>
      </c>
      <c r="AO17" s="268">
        <f>IF(ISNUMBER((NºAsuntos!C17+NºAsuntos!E17)/NºAsuntos!G17),(NºAsuntos!C17+NºAsuntos!E17)/NºAsuntos!G17," - ")</f>
        <v>1.3596538669551108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478</v>
      </c>
      <c r="X18" s="240">
        <f>IF(ISNUMBER(Datos!Q18),Datos!Q18," - ")</f>
        <v>6</v>
      </c>
      <c r="Y18" s="374">
        <f t="shared" si="9"/>
        <v>484</v>
      </c>
      <c r="Z18" s="375" t="str">
        <f>IF(ISNUMBER(Datos!CC18),Datos!CC18," - ")</f>
        <v xml:space="preserve"> - </v>
      </c>
      <c r="AA18" s="372">
        <f>IF(ISNUMBER(Datos!L18),Datos!L18,"-")</f>
        <v>149</v>
      </c>
      <c r="AB18" s="374">
        <f>IF(ISNUMBER(Datos!R18),Datos!R18," - ")</f>
        <v>6</v>
      </c>
      <c r="AC18" s="374">
        <f t="shared" si="8"/>
        <v>155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76</v>
      </c>
      <c r="AJ18" s="245" t="str">
        <f>IF(ISNUMBER(Datos!BW18),Datos!BW18," - ")</f>
        <v xml:space="preserve"> - </v>
      </c>
      <c r="AK18" s="246" t="str">
        <f>IF(ISNUMBER(Datos!BX18),Datos!BX18," - ")</f>
        <v xml:space="preserve"> - </v>
      </c>
      <c r="AL18" s="266">
        <f>IF(ISNUMBER(NºAsuntos!G18/NºAsuntos!E18),NºAsuntos!G18/NºAsuntos!E18," - ")</f>
        <v>0.94653465346534649</v>
      </c>
      <c r="AM18" s="284">
        <f>IF(ISNUMBER(((NºAsuntos!I18/NºAsuntos!G18)*11)/factor_trimestre),((NºAsuntos!I18/NºAsuntos!G18)*11)/factor_trimestre," - ")</f>
        <v>3.4288702928870292</v>
      </c>
      <c r="AN18" s="267">
        <f>IF(ISNUMBER('Resol  Asuntos'!D18/NºAsuntos!G18),'Resol  Asuntos'!D18/NºAsuntos!G18," - ")</f>
        <v>0.15899581589958159</v>
      </c>
      <c r="AO18" s="268">
        <f>IF(ISNUMBER((NºAsuntos!C18+NºAsuntos!E18)/NºAsuntos!G18),(NºAsuntos!C18+NºAsuntos!E18)/NºAsuntos!G18," - ")</f>
        <v>1.3117154811715481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1392</v>
      </c>
      <c r="G23" s="1163">
        <f>SUBTOTAL(9,G16:G22)</f>
        <v>1410</v>
      </c>
      <c r="H23" s="1162">
        <f t="shared" ref="H23:O23" si="13">SUBTOTAL(9,H15:H22)</f>
        <v>0</v>
      </c>
      <c r="I23" s="1164">
        <f t="shared" si="13"/>
        <v>0</v>
      </c>
      <c r="J23" s="1164">
        <f t="shared" si="13"/>
        <v>0</v>
      </c>
      <c r="K23" s="1164">
        <f t="shared" si="13"/>
        <v>0</v>
      </c>
      <c r="L23" s="1164">
        <f t="shared" si="13"/>
        <v>252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4176</v>
      </c>
      <c r="X23" s="1164">
        <f t="shared" si="14"/>
        <v>274</v>
      </c>
      <c r="Y23" s="1165">
        <f t="shared" si="14"/>
        <v>4450</v>
      </c>
      <c r="Z23" s="1165">
        <f t="shared" si="14"/>
        <v>0</v>
      </c>
      <c r="AA23" s="1165">
        <f t="shared" si="14"/>
        <v>1583</v>
      </c>
      <c r="AB23" s="1165">
        <f t="shared" si="14"/>
        <v>179</v>
      </c>
      <c r="AC23" s="1165">
        <f t="shared" si="14"/>
        <v>1762</v>
      </c>
      <c r="AD23" s="1165">
        <f t="shared" si="14"/>
        <v>0</v>
      </c>
      <c r="AE23" s="1169">
        <f t="shared" si="14"/>
        <v>0</v>
      </c>
      <c r="AF23" s="1162">
        <f t="shared" si="14"/>
        <v>0</v>
      </c>
      <c r="AG23" s="1170">
        <f t="shared" si="14"/>
        <v>0</v>
      </c>
      <c r="AH23" s="1167">
        <f t="shared" si="14"/>
        <v>0</v>
      </c>
      <c r="AI23" s="1162">
        <f t="shared" si="14"/>
        <v>1032</v>
      </c>
      <c r="AJ23" s="1164">
        <f t="shared" si="14"/>
        <v>0</v>
      </c>
      <c r="AK23" s="1167">
        <f t="shared" si="14"/>
        <v>0</v>
      </c>
      <c r="AL23" s="1171">
        <f>IF(ISNUMBER(NºAsuntos!G23/NºAsuntos!E23),NºAsuntos!G23/NºAsuntos!E23," - ")</f>
        <v>0.98374558303886928</v>
      </c>
      <c r="AM23" s="1171">
        <f>IF(ISNUMBER(((NºAsuntos!I23/NºAsuntos!G23)*11)/factor_trimestre),((NºAsuntos!I23/NºAsuntos!G23)*11)/factor_trimestre," - ")</f>
        <v>4.1697796934865901</v>
      </c>
      <c r="AN23" s="1172">
        <f>IF(ISNUMBER('Resol  Asuntos'!D23/NºAsuntos!G23),'Resol  Asuntos'!D23/NºAsuntos!G23," - ")</f>
        <v>0.2471264367816092</v>
      </c>
      <c r="AO23" s="1173">
        <f>IF(ISNUMBER((NºAsuntos!C23+NºAsuntos!E23)/NºAsuntos!G23),(NºAsuntos!C23+NºAsuntos!E23)/NºAsuntos!G23," - ")</f>
        <v>1.3541666666666667</v>
      </c>
      <c r="AP23" s="1174" t="str">
        <f t="shared" si="2"/>
        <v xml:space="preserve"> - </v>
      </c>
      <c r="AQ23" s="1174">
        <f>IF(ISNUMBER((H23-W23+K23)/(F23)),(H23-W23+K23)/(F23)," - ")</f>
        <v>-3</v>
      </c>
      <c r="AR23" s="1175">
        <f>IF(ISNUMBER((Datos!P23-Datos!Q23)/(Datos!R23-Datos!P23+Datos!Q23)),(Datos!P23-Datos!Q23)/(Datos!R23-Datos!P23+Datos!Q23)," - ")</f>
        <v>-0.10945273631840796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1399</v>
      </c>
      <c r="G31" s="1118">
        <f t="shared" si="20"/>
        <v>1417</v>
      </c>
      <c r="H31" s="1117">
        <f t="shared" si="20"/>
        <v>0</v>
      </c>
      <c r="I31" s="1119">
        <f t="shared" si="20"/>
        <v>0</v>
      </c>
      <c r="J31" s="1119">
        <f t="shared" si="20"/>
        <v>0</v>
      </c>
      <c r="K31" s="1180">
        <f t="shared" si="20"/>
        <v>0</v>
      </c>
      <c r="L31" s="1119">
        <f t="shared" si="20"/>
        <v>1186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4193</v>
      </c>
      <c r="X31" s="1118">
        <f t="shared" si="21"/>
        <v>888</v>
      </c>
      <c r="Y31" s="1125">
        <f t="shared" si="21"/>
        <v>5081</v>
      </c>
      <c r="Z31" s="1125">
        <f t="shared" si="21"/>
        <v>0</v>
      </c>
      <c r="AA31" s="1125">
        <f t="shared" si="21"/>
        <v>1601</v>
      </c>
      <c r="AB31" s="1125">
        <f t="shared" si="21"/>
        <v>2448</v>
      </c>
      <c r="AC31" s="1125">
        <f t="shared" si="21"/>
        <v>1786</v>
      </c>
      <c r="AD31" s="1125">
        <f t="shared" si="21"/>
        <v>0</v>
      </c>
      <c r="AE31" s="1127">
        <f t="shared" si="21"/>
        <v>0</v>
      </c>
      <c r="AF31" s="1128">
        <f t="shared" si="21"/>
        <v>0</v>
      </c>
      <c r="AG31" s="1129">
        <f t="shared" si="21"/>
        <v>0</v>
      </c>
      <c r="AH31" s="1127">
        <f t="shared" si="21"/>
        <v>0</v>
      </c>
      <c r="AI31" s="1117">
        <f t="shared" si="21"/>
        <v>2084</v>
      </c>
      <c r="AJ31" s="1117">
        <f t="shared" si="21"/>
        <v>0</v>
      </c>
      <c r="AK31" s="1127">
        <f t="shared" si="21"/>
        <v>0</v>
      </c>
      <c r="AL31" s="1183">
        <f>IF(ISNUMBER(NºAsuntos!G31/NºAsuntos!E31),NºAsuntos!G31/NºAsuntos!E31," - ")</f>
        <v>0.98811274509803926</v>
      </c>
      <c r="AM31" s="1184">
        <f>IF(ISNUMBER(((NºAsuntos!I31/NºAsuntos!G31)*11)/factor_trimestre),((NºAsuntos!I31/NºAsuntos!G31)*11)/factor_trimestre," - ")</f>
        <v>5.1609822646657566</v>
      </c>
      <c r="AN31" s="1184">
        <f>IF(ISNUMBER('Resol  Asuntos'!D31/NºAsuntos!G31),'Resol  Asuntos'!D31/NºAsuntos!G31," - ")</f>
        <v>0.25846459134317251</v>
      </c>
      <c r="AO31" s="1185">
        <f>IF(ISNUMBER((NºAsuntos!C31+NºAsuntos!E31)/NºAsuntos!G31),(NºAsuntos!C31+NºAsuntos!E31)/NºAsuntos!G31," - ")</f>
        <v>1.4557856877092894</v>
      </c>
      <c r="AP31" s="1186" t="str">
        <f t="shared" si="2"/>
        <v xml:space="preserve"> - </v>
      </c>
      <c r="AQ31" s="1187">
        <f>IF(OR(ISNUMBER(FIND("01",Criterios!A8,1)),ISNUMBER(FIND("02",Criterios!A8,1)),ISNUMBER(FIND("03",Criterios!A8,1)),ISNUMBER(FIND("04",Criterios!A8,1))),(I31-W31+K31)/(F31-K31),(H31-W31+K31)/(F31-K31))</f>
        <v>-2.9971408148677625</v>
      </c>
      <c r="AR31" s="1188">
        <f>IF(ISNUMBER((Datos!P31-Datos!Q31)/(Datos!R31-Datos!P31+Datos!Q31)),(Datos!P31-Datos!Q31)/(Datos!R31-Datos!P31+Datos!Q31)," - ")</f>
        <v>0.13860465116279069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717.02515065140256</v>
      </c>
      <c r="G33" s="277">
        <f>IF(ISNUMBER(STDEV(G8:G30)),STDEV(G8:G30),"-")</f>
        <v>647.38716612019959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1884.0034501029982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534.74373034459893</v>
      </c>
      <c r="AJ33" s="276">
        <f t="shared" si="25"/>
        <v>0</v>
      </c>
      <c r="AK33" s="278">
        <f t="shared" si="25"/>
        <v>0</v>
      </c>
      <c r="AL33" s="273">
        <f t="shared" si="25"/>
        <v>0.15388174278627365</v>
      </c>
      <c r="AM33" s="274">
        <f t="shared" si="25"/>
        <v>2.9983077097621322</v>
      </c>
      <c r="AN33" s="274">
        <f t="shared" si="25"/>
        <v>0.19440431202254588</v>
      </c>
      <c r="AO33" s="275">
        <f t="shared" si="25"/>
        <v>0.27905670274519684</v>
      </c>
      <c r="AP33" s="317" t="str">
        <f t="shared" si="25"/>
        <v>-</v>
      </c>
      <c r="AQ33" s="318">
        <f t="shared" si="25"/>
        <v>0.40406101782088011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yL5NTRZtPdU1YMpWgy6tHHWVDtYsgAdce4LgmV5RM1dXV2288KsrM1YIsuZPtQLtuBIk8KeSFw6XfF7rCVAnMQ==" saltValue="qdb/Oo3f61vCJDAJ8aYL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GETXO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1.1538461538461537</v>
      </c>
      <c r="F10" s="393">
        <f>IF(ISNUMBER((Datos!K10-Datos!U10)/Datos!U10),(Datos!K10-Datos!U10)/Datos!U10," - ")</f>
        <v>-0.15</v>
      </c>
      <c r="G10" s="394">
        <f>IF(ISNUMBER((Datos!L10-Datos!V10)/Datos!V10),(Datos!L10-Datos!V10)/Datos!V10," - ")</f>
        <v>1.5714285714285714</v>
      </c>
      <c r="H10" s="244">
        <f>IF(ISNUMBER((Datos!M10-Datos!W10)/Datos!W10),(Datos!M10-Datos!W10)/Datos!W10," - ")</f>
        <v>-0.25</v>
      </c>
      <c r="I10" s="395">
        <f>IF(ISNUMBER((Tasas!C10-Datos!BE10)/Datos!BE10),(Tasas!C10-Datos!BE10)/Datos!BE10," - ")</f>
        <v>2.0252100840336138</v>
      </c>
      <c r="J10" s="394">
        <f>IF(ISNUMBER((Tasas!D10-Datos!BF10)/Datos!BF10),(Tasas!D10-Datos!BF10)/Datos!BF10," - ")</f>
        <v>-0.11764705882352941</v>
      </c>
      <c r="K10" s="396">
        <f>IF(ISNUMBER((Tasas!E10-Datos!BG10)/Datos!BG10),(Tasas!E10-Datos!BG10)/Datos!BG10," - ")</f>
        <v>0.52505446623093655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-0.1340549542048293</v>
      </c>
      <c r="I12" s="395">
        <f>IF(ISNUMBER((Tasas!C12-Datos!BE12)/Datos!BE12),(Tasas!C12-Datos!BE12)/Datos!BE12," - ")</f>
        <v>0.10155768156908886</v>
      </c>
      <c r="J12" s="394">
        <f>IF(ISNUMBER((Tasas!D12-Datos!BF12)/Datos!BF12),(Tasas!D12-Datos!BF12)/Datos!BF12," - ")</f>
        <v>-0.31236708166940724</v>
      </c>
      <c r="K12" s="396">
        <f>IF(ISNUMBER((Tasas!E12-Datos!BG12)/Datos!BG12),(Tasas!E12-Datos!BG12)/Datos!BG12," - ")</f>
        <v>1.1358419003892541E-2</v>
      </c>
      <c r="M12" t="e">
        <f>IF(Monitorios="SI",Datos!CE12,0)</f>
        <v>#REF!</v>
      </c>
      <c r="N12" t="e">
        <f>IF(Monitorios="SI",Datos!CF12,0)</f>
        <v>#REF!</v>
      </c>
      <c r="O12" t="e">
        <f>IF(Monitorios="SI",Datos!CG12,0)</f>
        <v>#REF!</v>
      </c>
      <c r="P12" t="e">
        <f>IF(Monitorios="SI",Datos!CH12,0)</f>
        <v>#REF!</v>
      </c>
      <c r="Q12">
        <f>IF(J_V="SI",0,Datos!AG12)</f>
        <v>378</v>
      </c>
      <c r="R12">
        <f>IF(J_V="SI",0,Datos!AH12)</f>
        <v>642</v>
      </c>
      <c r="S12">
        <f>IF(J_V="SI",0,Datos!AI12)</f>
        <v>753</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-0.13557929334428923</v>
      </c>
      <c r="I14" s="402">
        <f>IF(ISNUMBER((Tasas!C14-Datos!BE14)/Datos!BE14),(Tasas!C14-Datos!BE14)/Datos!BE14," - ")</f>
        <v>0.10743826759080558</v>
      </c>
      <c r="J14" s="400">
        <f>IF(ISNUMBER((Tasas!D14-Datos!BF14)/Datos!BF14),(Tasas!D14-Datos!BF14)/Datos!BF14," - ")</f>
        <v>-0.31087680763069303</v>
      </c>
      <c r="K14" s="403">
        <f>IF(ISNUMBER((Tasas!E14-Datos!BG14)/Datos!BG14),(Tasas!E14-Datos!BG14)/Datos!BG14," - ")</f>
        <v>1.3366027146761706E-2</v>
      </c>
      <c r="M14" t="e">
        <f>IF(Monitorios="SI",Datos!CE14,0)</f>
        <v>#REF!</v>
      </c>
      <c r="N14" t="e">
        <f>IF(Monitorios="SI",Datos!CF14,0)</f>
        <v>#REF!</v>
      </c>
      <c r="O14" t="e">
        <f>IF(Monitorios="SI",Datos!CG14,0)</f>
        <v>#REF!</v>
      </c>
      <c r="P14" t="e">
        <f>IF(Monitorios="SI",Datos!CH14,0)</f>
        <v>#REF!</v>
      </c>
      <c r="Q14">
        <f>IF(J_V="SI",0,Datos!AG14)</f>
        <v>378</v>
      </c>
      <c r="R14">
        <f>IF(J_V="SI",0,Datos!AH14)</f>
        <v>642</v>
      </c>
      <c r="S14">
        <f>IF(J_V="SI",0,Datos!AI14)</f>
        <v>753</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4.2914979757085019E-2</v>
      </c>
      <c r="E17" s="393">
        <f>IF(ISNUMBER(
   IF(D_I="SI",(Datos!J17-Datos!T17)/Datos!T17,(Datos!J17+Datos!AD17-(Datos!T17+Datos!AL17))/(Datos!T17+Datos!AL17))
     ),IF(D_I="SI",(Datos!J17-Datos!T17)/Datos!T17,(Datos!J17+Datos!AD17-(Datos!T17+Datos!AL17))/(Datos!T17+Datos!AL17))," - ")</f>
        <v>0.17943866288237148</v>
      </c>
      <c r="F17" s="393">
        <f>IF(ISNUMBER(
   IF(D_I="SI",(Datos!K17-Datos!U17)/Datos!U17,(Datos!K17+Datos!AE17-(Datos!U17+Datos!AM17))/(Datos!U17+Datos!AM17))
     ),IF(D_I="SI",(Datos!K17-Datos!U17)/Datos!U17,(Datos!K17+Datos!AE17-(Datos!U17+Datos!AM17))/(Datos!U17+Datos!AM17))," - ")</f>
        <v>0.20338431500162707</v>
      </c>
      <c r="G17" s="394">
        <f>IF(ISNUMBER(
   IF(D_I="SI",(Datos!L17-Datos!V17)/Datos!V17,(Datos!L17+Datos!AF17-(Datos!V17+Datos!AN17))/(Datos!V17+Datos!AN17))
     ),IF(D_I="SI",(Datos!L17-Datos!V17)/Datos!V17,(Datos!L17+Datos!AF17-(Datos!V17+Datos!AN17))/(Datos!V17+Datos!AN17))," - ")</f>
        <v>0.11335403726708075</v>
      </c>
      <c r="H17" s="244">
        <f>IF(ISNUMBER((Datos!M17-Datos!W17)/Datos!W17),(Datos!M17-Datos!W17)/Datos!W17," - ")</f>
        <v>0.1380952380952381</v>
      </c>
      <c r="I17" s="395">
        <f>IF(ISNUMBER((Tasas!C17-Datos!BE17)/Datos!BE17),(Tasas!C17-Datos!BE17)/Datos!BE17," - ")</f>
        <v>-7.4814235662050019E-2</v>
      </c>
      <c r="J17" s="394">
        <f>IF(ISNUMBER((Tasas!D17-Datos!BF17)/Datos!BF17),(Tasas!D17-Datos!BF17)/Datos!BF17," - ")</f>
        <v>-5.4254552010095533E-2</v>
      </c>
      <c r="K17" s="396">
        <f>IF(ISNUMBER((Tasas!E17-Datos!BG17)/Datos!BG17),(Tasas!E17-Datos!BG17)/Datos!BG17," - ")</f>
        <v>-5.1698517214467693E-2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-0.20779220779220781</v>
      </c>
      <c r="E18" s="393">
        <f>IF(ISNUMBER(
   IF(D_I="SI",(Datos!J18-Datos!T18)/Datos!T18,(Datos!J18+Datos!AD18-(Datos!T18+Datos!AL18))/(Datos!T18+Datos!AL18))
     ),IF(D_I="SI",(Datos!J18-Datos!T18)/Datos!T18,(Datos!J18+Datos!AD18-(Datos!T18+Datos!AL18))/(Datos!T18+Datos!AL18))," - ")</f>
        <v>0.31853785900783288</v>
      </c>
      <c r="F18" s="393">
        <f>IF(ISNUMBER(
   IF(D_I="SI",(Datos!K18-Datos!U18)/Datos!U18,(Datos!K18+Datos!AE18-(Datos!U18+Datos!AM18))/(Datos!U18+Datos!AM18))
     ),IF(D_I="SI",(Datos!K18-Datos!U18)/Datos!U18,(Datos!K18+Datos!AE18-(Datos!U18+Datos!AM18))/(Datos!U18+Datos!AM18))," - ")</f>
        <v>0.15180722891566265</v>
      </c>
      <c r="G18" s="394">
        <f>IF(ISNUMBER(
   IF(D_I="SI",(Datos!L18-Datos!V18)/Datos!V18,(Datos!L18+Datos!AF18-(Datos!V18+Datos!AN18))/(Datos!V18+Datos!AN18))
     ),IF(D_I="SI",(Datos!L18-Datos!V18)/Datos!V18,(Datos!L18+Datos!AF18-(Datos!V18+Datos!AN18))/(Datos!V18+Datos!AN18))," - ")</f>
        <v>0.22131147540983606</v>
      </c>
      <c r="H18" s="244">
        <f>IF(ISNUMBER((Datos!M18-Datos!W18)/Datos!W18),(Datos!M18-Datos!W18)/Datos!W18," - ")</f>
        <v>0.24590163934426229</v>
      </c>
      <c r="I18" s="395">
        <f>IF(ISNUMBER((Tasas!C18-Datos!BE18)/Datos!BE18),(Tasas!C18-Datos!BE18)/Datos!BE18," - ")</f>
        <v>6.0343644968790668E-2</v>
      </c>
      <c r="J18" s="394">
        <f>IF(ISNUMBER((Tasas!D18-Datos!BF18)/Datos!BF18),(Tasas!D18-Datos!BF18)/Datos!BF18," - ")</f>
        <v>8.1692845874202516E-2</v>
      </c>
      <c r="K18" s="396">
        <f>IF(ISNUMBER((Tasas!E18-Datos!BG18)/Datos!BG18),(Tasas!E18-Datos!BG18)/Datos!BG18," - ")</f>
        <v>1.3709356957527905E-2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1.511879049676026E-2</v>
      </c>
      <c r="E23" s="399">
        <f>IF(ISNUMBER(
   IF(D_I="SI",(Datos!J23-Datos!T23)/Datos!T23,(Datos!J23+Datos!AD23-(Datos!T23+Datos!AL23))/(Datos!T23+Datos!AL23))
     ),IF(D_I="SI",(Datos!J23-Datos!T23)/Datos!T23,(Datos!J23+Datos!AD23-(Datos!T23+Datos!AL23))/(Datos!T23+Datos!AL23))," - ")</f>
        <v>0.19442881260551492</v>
      </c>
      <c r="F23" s="399">
        <f>IF(ISNUMBER(
   IF(D_I="SI",(Datos!K23-Datos!U23)/Datos!U23,(Datos!K23+Datos!AE23-(Datos!U23+Datos!AM23))/(Datos!U23+Datos!AM23))
     ),IF(D_I="SI",(Datos!K23-Datos!U23)/Datos!U23,(Datos!K23+Datos!AE23-(Datos!U23+Datos!AM23))/(Datos!U23+Datos!AM23))," - ")</f>
        <v>0.19724770642201836</v>
      </c>
      <c r="G23" s="400">
        <f>IF(ISNUMBER(
   IF(D_I="SI",(Datos!L23-Datos!V23)/Datos!V23,(Datos!L23+Datos!AF23-(Datos!V23+Datos!AN23))/(Datos!V23+Datos!AN23))
     ),IF(D_I="SI",(Datos!L23-Datos!V23)/Datos!V23,(Datos!L23+Datos!AF23-(Datos!V23+Datos!AN23))/(Datos!V23+Datos!AN23))," - ")</f>
        <v>0.1226950354609929</v>
      </c>
      <c r="H23" s="401">
        <f>IF(ISNUMBER((Datos!M23-Datos!W23)/Datos!W23),(Datos!M23-Datos!W23)/Datos!W23," - ")</f>
        <v>0.14539400665926749</v>
      </c>
      <c r="I23" s="402">
        <f>IF(ISNUMBER((Tasas!C23-Datos!BE23)/Datos!BE23),(Tasas!C23-Datos!BE23)/Datos!BE23," - ")</f>
        <v>-6.2270047009592128E-2</v>
      </c>
      <c r="J23" s="400">
        <f>IF(ISNUMBER((Tasas!D23-Datos!BF23)/Datos!BF23),(Tasas!D23-Datos!BF23)/Datos!BF23," - ")</f>
        <v>-4.3310753058542956E-2</v>
      </c>
      <c r="K23" s="403">
        <f>IF(ISNUMBER((Tasas!E23-Datos!BG23)/Datos!BG23),(Tasas!E23-Datos!BG23)/Datos!BG23," - ")</f>
        <v>-4.4439948749072714E-2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-0.11391778107974244</v>
      </c>
      <c r="E31" s="409">
        <f>IF(ISNUMBER(
   IF(J_V="SI",(Datos!J31-Datos!T31)/Datos!T31,(Datos!J31+Datos!Z31-(Datos!T31+Datos!AH31))/(Datos!T31+Datos!AH31))
     ),IF(J_V="SI",(Datos!J31-Datos!T31)/Datos!T31,(Datos!J31+Datos!Z31-(Datos!T31+Datos!AH31))/(Datos!T31+Datos!AH31))," - ")</f>
        <v>9.4420600858369105E-2</v>
      </c>
      <c r="F31" s="409">
        <f>IF(ISNUMBER(
   IF(J_V="SI",(Datos!K31-Datos!U31)/Datos!U31,(Datos!K31+Datos!AA31-(Datos!U31+Datos!AI31))/(Datos!U31+Datos!AI31))
     ),IF(J_V="SI",(Datos!K31-Datos!U31)/Datos!U31,(Datos!K31+Datos!AA31-(Datos!U31+Datos!AI31))/(Datos!U31+Datos!AI31))," - ")</f>
        <v>4.3078913324708923E-2</v>
      </c>
      <c r="G31" s="410">
        <f>IF(ISNUMBER(
   IF(J_V="SI",(Datos!L31-Datos!V31)/Datos!V31,(Datos!L31+Datos!AB31-(Datos!V31+Datos!AJ31))/(Datos!V31+Datos!AJ31))
     ),IF(J_V="SI",(Datos!L31-Datos!V31)/Datos!V31,(Datos!L31+Datos!AB31-(Datos!V31+Datos!AJ31))/(Datos!V31+Datos!AJ31))," - ")</f>
        <v>5.7294577976523195E-2</v>
      </c>
      <c r="H31" s="411">
        <f>IF(ISNUMBER((Datos!M31-Datos!W31)/Datos!W31),(Datos!M31-Datos!W31)/Datos!W31," - ")</f>
        <v>-1.6052880075542966E-2</v>
      </c>
      <c r="I31" s="408">
        <f>IF(ISNUMBER((Tasas!C31-Datos!BE31)/Datos!BE31),(Tasas!C31-Datos!BE31)/Datos!BE31," - ")</f>
        <v>1.3628561051534708E-2</v>
      </c>
      <c r="J31" s="409">
        <f>IF(ISNUMBER((Tasas!D31-Datos!BF31)/Datos!BF31),(Tasas!D31-Datos!BF31)/Datos!BF31," - ")</f>
        <v>-0.22168629096894293</v>
      </c>
      <c r="K31" s="410">
        <f>IF(ISNUMBER((Tasas!E31-Datos!BG31)/Datos!BG31),(Tasas!E31-Datos!BG31)/Datos!BG31," - ")</f>
        <v>-2.0948028015242183E-2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0.25146329629107733</v>
      </c>
      <c r="E33" s="303">
        <f t="shared" si="1"/>
        <v>0.46571342108064495</v>
      </c>
      <c r="F33" s="303">
        <f t="shared" si="1"/>
        <v>0.16864947324264429</v>
      </c>
      <c r="G33" s="304">
        <f t="shared" si="1"/>
        <v>0.71116650905954182</v>
      </c>
      <c r="H33" s="310">
        <f t="shared" si="1"/>
        <v>0.19975682135720921</v>
      </c>
      <c r="I33" s="302">
        <f t="shared" si="1"/>
        <v>0.81983812513737409</v>
      </c>
      <c r="J33" s="303">
        <f t="shared" si="1"/>
        <v>0.15754557227579524</v>
      </c>
      <c r="K33" s="304">
        <f t="shared" si="1"/>
        <v>0.22109853427027876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ZzC5o4L7dtnUtha8KyEw6yWueUPv7/ELVVqrkAV0zHst7zSSNAkFDIFJGBrMyXSZgQMSAVqsC/wEP4VRkQHA==" saltValue="uiTXiqsX8+dfdykbWsg0d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